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<sst xmlns="http://schemas.openxmlformats.org/spreadsheetml/2006/main" count="10076" uniqueCount="2168">
  <si>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</si>
  <si>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</si>
  <si>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</si>
  <si>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</si>
  <si>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</si>
  <si>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</si>
  <si>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</si>
  <si>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</si>
  <si>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</si>
  <si>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</si>
  <si>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</si>
  <si>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</si>
  <si>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</si>
  <si>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</si>
  <si>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</si>
  <si>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</si>
  <si>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</si>
  <si>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</si>
  <si>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</si>
  <si>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</si>
  <si>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</si>
  <si>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</si>
  <si>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</si>
  <si>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</si>
  <si>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</si>
  <si>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</si>
  <si>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</si>
  <si>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</si>
  <si>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</si>
  <si>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</si>
  <si>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</si>
  <si>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</si>
  <si>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</si>
  <si>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</si>
  <si>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</si>
  <si>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</si>
  <si>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</si>
  <si>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</si>
  <si>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</si>
  <si>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</si>
  <si>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</si>
  <si>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</si>
  <si>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</si>
  <si>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</si>
  <si>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</si>
  <si>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</si>
  <si>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</si>
  <si>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</si>
  <si>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</si>
  <si>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</si>
  <si>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</si>
  <si>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</si>
  <si>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</si>
  <si>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</si>
  <si>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</si>
  <si>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</si>
  <si>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</si>
  <si>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</si>
  <si>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</si>
  <si>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</si>
  <si>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</si>
  <si>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</si>
  <si>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</si>
  <si>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</si>
  <si>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</si>
  <si>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</si>
  <si>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</si>
  <si>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</si>
  <si>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</si>
  <si>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</si>
  <si>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</si>
  <si>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</si>
  <si>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</si>
  <si>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</si>
  <si>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</si>
  <si>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</si>
  <si>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</si>
  <si>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</si>
  <si>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</si>
  <si>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</si>
  <si>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</si>
  <si>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</si>
  <si>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</si>
  <si>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</si>
  <si>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</si>
  <si>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</si>
  <si>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</si>
  <si>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</si>
  <si>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</si>
  <si>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</si>
  <si>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</si>
  <si>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</si>
  <si>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</si>
  <si>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</si>
  <si>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</si>
  <si>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</si>
  <si>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</si>
  <si>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</si>
  <si>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</si>
  <si>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</si>
  <si>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</si>
  <si>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</si>
  <si>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</si>
  <si>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</si>
  <si>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</si>
  <si>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</si>
  <si>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</si>
  <si>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</si>
  <si>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</si>
  <si>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</si>
  <si>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</si>
  <si>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</si>
  <si>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</si>
  <si>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</si>
  <si>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</si>
  <si>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</si>
  <si>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</si>
  <si>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</si>
  <si>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</si>
  <si>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</si>
  <si>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</si>
  <si>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</si>
  <si>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</si>
  <si>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</si>
  <si>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</si>
  <si>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</si>
  <si>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</si>
  <si>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</si>
  <si>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</si>
  <si>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</si>
  <si>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</si>
  <si>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</si>
  <si>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</si>
  <si>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</si>
  <si>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</si>
  <si>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</si>
  <si>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</si>
  <si>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</si>
  <si>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</si>
  <si>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</si>
  <si>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</si>
  <si>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</si>
  <si>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</si>
  <si>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</si>
  <si>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</si>
  <si>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</si>
  <si>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</si>
  <si>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</si>
  <si>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</si>
  <si>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</si>
  <si>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</si>
  <si>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</si>
  <si>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</si>
  <si>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</si>
  <si>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</si>
  <si>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</si>
  <si>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</si>
  <si>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</si>
  <si>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</si>
  <si>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</si>
  <si>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</si>
  <si>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</si>
  <si>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</si>
  <si>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</si>
  <si>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</si>
  <si>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</si>
  <si>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</si>
  <si>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</si>
  <si>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</si>
  <si>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</si>
  <si>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</si>
  <si>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</si>
  <si>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</si>
  <si>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</si>
  <si>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</si>
  <si>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</si>
  <si>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</si>
  <si>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</si>
  <si>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</si>
  <si>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</si>
  <si>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</si>
  <si>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</si>
  <si>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</si>
  <si>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Workbook Settings 6</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</si>
  <si>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</si>
  <si>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Workbook Settings 7</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</si>
  <si>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</si>
  <si>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Workbook Settings 8</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</si>
  <si>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</si>
  <si>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Workbook Settings 9</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</si>
  <si>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</si>
  <si>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Workbook Settings 10</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</si>
  <si>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</si>
  <si>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Workbook Settings 11</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</si>
  <si>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</si>
  <si>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Workbook Settings 12</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</si>
  <si>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</si>
  <si>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Workbook Settings 13</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</si>
  <si>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</si>
  <si>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Workbook Settings 14</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</si>
  <si>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</si>
  <si>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Workbook Settings 15</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</si>
  <si>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</si>
  <si>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Workbook Settings 16</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</si>
  <si>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</si>
  <si>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</si>
  <si>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</si>
  <si>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</si>
  <si>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</si>
  <si>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</si>
  <si>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</si>
  <si>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</si>
  <si>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</si>
  <si>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</si>
  <si>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</si>
  <si>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</si>
  <si>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</si>
  <si>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</si>
  <si>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</si>
  <si>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</si>
  <si>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</si>
  <si>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</si>
  <si>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</si>
  <si>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</si>
  <si>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</si>
  <si>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</si>
  <si>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</si>
  <si>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</si>
  <si>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</si>
  <si>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</si>
  <si>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</si>
  <si>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</si>
  <si>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</si>
  <si>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</si>
  <si>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</si>
  <si>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</si>
  <si>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</si>
  <si>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</si>
  <si>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</si>
  <si>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</si>
  <si>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</si>
  <si>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</si>
  <si>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</si>
  <si>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</si>
  <si>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</si>
  <si>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</si>
  <si>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</si>
  <si>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</si>
  <si>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</si>
  <si>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nerans1</t>
  </si>
  <si>
    <t>rikkialexander</t>
  </si>
  <si>
    <t>opusfluke</t>
  </si>
  <si>
    <t>cwezel1</t>
  </si>
  <si>
    <t>paulduanefilm</t>
  </si>
  <si>
    <t>chelseagreen</t>
  </si>
  <si>
    <t>zloom</t>
  </si>
  <si>
    <t>anastasiatl</t>
  </si>
  <si>
    <t>nicolawriting</t>
  </si>
  <si>
    <t>dansumption</t>
  </si>
  <si>
    <t>originalsyna</t>
  </si>
  <si>
    <t>jpt_paris</t>
  </si>
  <si>
    <t>vinyl_for_life</t>
  </si>
  <si>
    <t>canntfestival</t>
  </si>
  <si>
    <t>l13liw</t>
  </si>
  <si>
    <t>festival23cod</t>
  </si>
  <si>
    <t>alisonbagley1</t>
  </si>
  <si>
    <t>katie_cronin</t>
  </si>
  <si>
    <t>upsmagcom</t>
  </si>
  <si>
    <t>rooftopcorby</t>
  </si>
  <si>
    <t>wholehogg</t>
  </si>
  <si>
    <t>nigetassell</t>
  </si>
  <si>
    <t>thenarraback</t>
  </si>
  <si>
    <t>stephenclarke80</t>
  </si>
  <si>
    <t>wayswithweirds</t>
  </si>
  <si>
    <t>salenagodden</t>
  </si>
  <si>
    <t>tweetbytheriver</t>
  </si>
  <si>
    <t>chiltonbell</t>
  </si>
  <si>
    <t>radiolento</t>
  </si>
  <si>
    <t>realdavidcarter</t>
  </si>
  <si>
    <t>dritsumotanoshi</t>
  </si>
  <si>
    <t>michaeldaly64</t>
  </si>
  <si>
    <t>caroline_binnie</t>
  </si>
  <si>
    <t>tom40591965</t>
  </si>
  <si>
    <t>40000037sm</t>
  </si>
  <si>
    <t>perovskite_</t>
  </si>
  <si>
    <t>myselle404</t>
  </si>
  <si>
    <t>billybobbaghold</t>
  </si>
  <si>
    <t>mr_hopkinson</t>
  </si>
  <si>
    <t>reactionsto2023</t>
  </si>
  <si>
    <t>dawsepaws</t>
  </si>
  <si>
    <t>janeclifford23</t>
  </si>
  <si>
    <t>mubot231</t>
  </si>
  <si>
    <t>peterradiator</t>
  </si>
  <si>
    <t>ironmanrecords</t>
  </si>
  <si>
    <t>realpilleater</t>
  </si>
  <si>
    <t>michaelmee_too</t>
  </si>
  <si>
    <t>mennoknight</t>
  </si>
  <si>
    <t>disgracelands9</t>
  </si>
  <si>
    <t>peanutpower4</t>
  </si>
  <si>
    <t>heghoulian</t>
  </si>
  <si>
    <t>cartrell_payne</t>
  </si>
  <si>
    <t>vec0zy</t>
  </si>
  <si>
    <t>thevinylslap</t>
  </si>
  <si>
    <t>kalinecountry</t>
  </si>
  <si>
    <t>paperyou</t>
  </si>
  <si>
    <t>chombotofficial</t>
  </si>
  <si>
    <t>ntelegraph</t>
  </si>
  <si>
    <t>nndroid</t>
  </si>
  <si>
    <t>lizamccarron</t>
  </si>
  <si>
    <t>grimartgroup</t>
  </si>
  <si>
    <t>collettwriter</t>
  </si>
  <si>
    <t>abrown667</t>
  </si>
  <si>
    <t>scharmienzandi</t>
  </si>
  <si>
    <t>superrare</t>
  </si>
  <si>
    <t>nftculture</t>
  </si>
  <si>
    <t>trevorjonesart</t>
  </si>
  <si>
    <t>jimmccauley</t>
  </si>
  <si>
    <t>bob_fischer</t>
  </si>
  <si>
    <t>airyfairynews</t>
  </si>
  <si>
    <t>tonytiger67</t>
  </si>
  <si>
    <t>stu_art_p</t>
  </si>
  <si>
    <t>kev__1987</t>
  </si>
  <si>
    <t>youarestars</t>
  </si>
  <si>
    <t>torquilcampbell</t>
  </si>
  <si>
    <t>scottaukerman</t>
  </si>
  <si>
    <t>myrealnameisdj</t>
  </si>
  <si>
    <t>brian_mccaul</t>
  </si>
  <si>
    <t>chubbicorn219</t>
  </si>
  <si>
    <t>jemmilner</t>
  </si>
  <si>
    <t>MentionsInRetweet</t>
  </si>
  <si>
    <t>Retweet</t>
  </si>
  <si>
    <t>Mentions</t>
  </si>
  <si>
    <t>Replies to</t>
  </si>
  <si>
    <t>This interview with Bill Drummond, who is exhibiting his latest work in Corby, is quite something 
via @AlisonBagley1  https://t.co/tLzCsS5Ho7</t>
  </si>
  <si>
    <t>Bill Drummond + Jimmy Cauty agree to never speak, write or use any other form of media to mention the burning of one million pounds of their own money which occurred on the Island of Jura on 23 August 1994 for a period of 23 years after the date of signature.</t>
  </si>
  <si>
    <t>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</si>
  <si>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Thrilled to be doing this with @tweetbytheriver and the marvellous Bill Drummond and the equally marvellous @salenagodden https://t.co/VWEokns9hQ</t>
  </si>
  <si>
    <t>Incredibly excited for the launch event for 
@wayswithweirds' new book 'What Remains? Life, Death and the Human Art of Undertaking' on September 26th! Come and join us at The Social alongside Bill Drummond and @salenagodden. https://t.co/TS0HyhQQ3G</t>
  </si>
  <si>
    <t>Julian Cope 'Bill Drummond Said' ('Fried' / Mercury Records, 1984)
https://t.co/Zn62uoxLe3
#JulianCope #MercuryRecords #indiepop #alternativepop #newwave #fried #pop #vinylrecords https://t.co/toTiF9c2Vc</t>
  </si>
  <si>
    <t>Starting today at the @RooftopCorby until 30th June. The 2022 edition of 25 Paintings World Tour with Bill Drummond and friends. In all seriousness, with much hilarity and #creativity #Corby #Arts #CANNT   #mu https://t.co/Ncij64chNl https://t.co/vA0tepFcOO</t>
  </si>
  <si>
    <t>Corby art and music maverick Bill Drummond back with new exhibition https://t.co/JwBU4zzm5b</t>
  </si>
  <si>
    <t>@upsmagcom Maybe don’t steal other people’s entire interviews and pictures _xD83E__xDD37__xD83C__xDFFB_‍♀️
https://t.co/tLzCsS5Ho7</t>
  </si>
  <si>
    <t>Read all about it in our June newsletter because its a busy month! With Bill Drummond, an Open Call for Artists, Sketchbook Show winners, and news on the Big Move https://t.co/HePKeSALVS #opencall #billdrummond #corby #opencallforartists #callforartists #openexhibition https://t.co/TF5Q2aSz5f</t>
  </si>
  <si>
    <t>https://t.co/9X2rVAqOaN
From those calm days of 2008 - Word magazine issue 65 - featuring a Bill Drummond interview with @Nndroid</t>
  </si>
  <si>
    <t>Bill Drummond's soup lines. 
The KLF were nuts. 
Learning these facts is not helping alleviate my insomnia.</t>
  </si>
  <si>
    <t>@stephenclarke80 @LizaMccarron @wayswithweirds You had me at Bill Drummond.</t>
  </si>
  <si>
    <t>@LizaMccarron @TheNarraback @wayswithweirds Thanks Liza _xD83D__xDE42_
Bill Drummond liked my first book, Deleted Scenes, about growing up in Belfast during The Troubles.
No Rest For The Listener went to Number 1 &amp;amp; I signed a copy recently for Nina Kraviz.
Writing fiction is difficult, but I hope to finish this book soon _xD83E__xDD1E_
- SC</t>
  </si>
  <si>
    <t>@LizaMccarron @TheNarraback @wayswithweirds If you feel you'll meet Bill, you will.
Yes, write!
A good trick is to write the penultimate paragraph first, then bounce back to the start of your tale. That way you'll know where you've to aim for.
&amp;amp;
"Start now. Tomorrow is always too late." - Bill Drummond</t>
  </si>
  <si>
    <t>@GrimArtGroup Really enjoying catching up with #WordArtWeeked.
Here's one from episode 72 &amp;gt; https://t.co/KINecUmPKa
Never Lock Your Door is by Bill Drummond. https://t.co/6RBsnY1bfA</t>
  </si>
  <si>
    <t>Bill Drummond – The 25 Paintings
11th – 30th June  https://t.co/GxjQ9nS9Bc https://t.co/1xrw6sc6RJ</t>
  </si>
  <si>
    <t>IMAGINE WAKING 
TOMORROW &amp;amp; ALL 
MUSIC HAS 
DISAPPEARED
Graffiti done by Bill Drummond at 4am on the 7th of July 2010, on the Barford Bridge near Corby. Photograph taken by Tracey Moberly.
#music #Graffiti #BillDrummond #tomorrow https://t.co/UZzA65QA3I</t>
  </si>
  <si>
    <t>@CollettWriter I once had lunch with Bill Drummond at a conference, I was friendly with a mate of his. He was very charming, spent most of the time discussing Northern Soul and Steve Earle, who he was going to see at Barrowland that night.</t>
  </si>
  <si>
    <t>@CollettWriter A musician at our table had no idea who he was. "THAT was Bill Drummond? I thought he was a Radio Clyde DJ or something"_xD83D__xDE02_</t>
  </si>
  <si>
    <t>@CollettWriter @abrown667 Bill Drummond just keeps getting stranger too!</t>
  </si>
  <si>
    <t>@CollettWriter Highly entertaining, supreme cultural provocateurs. Best Before Death, Paul Duane’s Bill Drummond doc from a couple of years ago, is well worth catching too if you haven’t seen it.</t>
  </si>
  <si>
    <t>@CollettWriter Ah, it’s Bill Drummond going round the world baking cakes and building beds. I think you’ll like.</t>
  </si>
  <si>
    <t>Ethereum whale's uniswap token briefly hit $100K — but there’s a catch . Boa, a new Uniswap token created by the well-known pseudonymous Ether whale Bill Drummond, briefly hit $100,000.</t>
  </si>
  <si>
    <t>名盤ジャケの元ネタ
The KLF / Chill Out
Bill Drummondは、カバーをPink Floyd「Atom Heart Mother」からの影響を公言。当時のイギリスレイヴシーンの雰囲気を持つアートのイメージは、田舎でOrbitalが巨大レイヴをやり、一晩中踊り、朝になると日が昇ってきて、田舎に囲まれている感じを表現した。 https://t.co/CL1CoLO0eb</t>
  </si>
  <si>
    <t>@trevorjonesart @NFTCulture @SuperRare Silent opera. For the „no music day“ Bill Drummond, a british conceptual artist installed. The pictures are screenshots of a video that is based on the opera „dione“ by the artist @ScharmienZandi https://t.co/EISz3Wt6Me</t>
  </si>
  <si>
    <t>Now, more than ever, we need Bill Drummond.
gn</t>
  </si>
  <si>
    <t>@ReactionsTo2023 @JimMcCauley "bill drummond, holly johnson, jayne casey, ian brodie with budgie on drums in 1977" https://t.co/3gXuXaOTrb</t>
  </si>
  <si>
    <t>@Bob_Fischer Bill Drummond, and his Tenzing Scott Brown alter ego, are on it . . .
https://t.co/3jSlsIe0T7 
https://t.co/VQUn82YnC9</t>
  </si>
  <si>
    <t>Bill Drummond has set up a tea room and his mailshots about it are a joy. That is all. Oh, and congratulations to the #TeaRoomWedding couple. X</t>
  </si>
  <si>
    <t>Can't wait.
Bill Drummond, 25 seemingly sentient paintings, tea n scones, desolate brutalist gallery, pied wagtails and a lift from @AiryFairyNews .  
Road trip...... https://t.co/phGQR5FdN3</t>
  </si>
  <si>
    <t>Bill Drummond + J Cauty agree to allow Alan Goodrick use, for whatever purpose, the film “Watch The K Foundation Burn A Million Quid” and all film rushes.</t>
  </si>
  <si>
    <t>@tonytiger67 They were a Bill Drummond side project. Decent.</t>
  </si>
  <si>
    <t>Corby art and music maverick Bill Drummond back with new exhibition https://t.co/twAV5xvKtX #KLF https://t.co/9hKPcGrnX4</t>
  </si>
  <si>
    <t>The KLF—sounds like a terrorist group. Bill Drummond played up to this gleefully, most infamously during the 1992 Brit Awards, when he fired blanks into the audience. https://t.co/YHdwo8Ikpa</t>
  </si>
  <si>
    <t>@kev__1987 @Stu_ART_P Bill Drummond?</t>
  </si>
  <si>
    <t>@myrealnameisdj @ScottAukerman @torquilcampbell @youarestars also highly recommend the book Turn Up the Strobe by Ian Shirley. Bill Drummond and Jimmy Cauty are my heroes. can't wait to be mumufied and be placed in their pyramid.</t>
  </si>
  <si>
    <t>@kev__1987 Bill Drummond . The Timelords and KLF .</t>
  </si>
  <si>
    <t>@brian_mccaul Get yourself up the road to Derry/Londonderry and speak to Ben at Abbazappa in the Yellow yard. Clear a whole day for some serious crate digging and checking out speakers/amps and general chit chat with Ben. He has good Bill Drummond stories...</t>
  </si>
  <si>
    <t>@Chubbicorn219 bitcoin bill drummond</t>
  </si>
  <si>
    <t>@Stu_ART_P @kev__1987 @JemMilner Wait! Bill Drummond? KLF and The Timelords or whatever?</t>
  </si>
  <si>
    <t>@kev__1987 @Stu_ART_P @JemMilner But Bill Drummond had number 1 hits with the KLF (3am Eternal) and The Timelords (Doctorin’ the Tardis)?</t>
  </si>
  <si>
    <t>June 19, Happy Birthday Bill Drummond.
https://t.co/6w6wkVdzZ5 w/SonnyRollins.
https://t.co/QzPPYEm0RE
https://t.co/Ovka4Ii5Xk</t>
  </si>
  <si>
    <t>ALEXIS, introducing herself forward stamps gill sans duncan bill drummond shepherds pie buckfast buckfast straws shepherds</t>
  </si>
  <si>
    <t>Muldoon bursts through the man roots around to side, alert as the fall bill drummond straws stamps typography - it scrambles</t>
  </si>
  <si>
    <t>AT THE RESTROOM gill sans bill drummond shepherds pie buckfast Hammond turns around.</t>
  </si>
  <si>
    <t>Hammond DENNIS NEDRY is right there, behind them off, bill drummond cottage pie graphic design but wildly, and hurries over</t>
  </si>
  <si>
    <t>The T-rex closes the steam evaporates, the recessed holes on to the strokes down now, and the strokes bill drummond cottage</t>
  </si>
  <si>
    <t>THE REAR CAR, bill drummond straws He punches a slightly out of them.</t>
  </si>
  <si>
    <t>Nedry turns towards Nedry, bill drummond CUT TO: Grant laughs.</t>
  </si>
  <si>
    <t>Tim and looks up at its spotted klf mark e smith The wind their rifles and look bill drummond look.</t>
  </si>
  <si>
    <t>The dilophosaur gets out of the Velociraptor pen, bill drummond typography INT bill drummond Grant tries to fling it on screen,</t>
  </si>
  <si>
    <t>COSTA RICA typography bill drummond crabbies straws typography shepherds pie shepherds pie Explorer has to get a cable becomes</t>
  </si>
  <si>
    <t>Goddamn it! INT cottage pie bill drummond TIM, the big guy with the crate, shoving it rips the fall shepherds pie stamps</t>
  </si>
  <si>
    <t>Another Legend: A light on the strokes buckfast stamps klf Grant is still feeding on the fall stamps bill drummond the humans</t>
  </si>
  <si>
    <t>CRUNCHES into the strokes bill drummond gill sans typography buckfast The cage we can't just hold the fall graphic design</t>
  </si>
  <si>
    <t>One of absolute rapture on the back and pinned to the rex bill drummond Jurassic Park is a school of thinner branches, flying</t>
  </si>
  <si>
    <t>She stands behind the front of the fall chombo duncan bill drummond crabbies crabbies KIDS are SCREAMING at the trees, but</t>
  </si>
  <si>
    <t>It reads klf buckfast bill drummond klf It's a terrible thought sweeps away egg begins to the air.</t>
  </si>
  <si>
    <t>Tim twirl on mark e smith bill drummond shepherds pie The trailer SLAPS open space between them stare out at him - - - -</t>
  </si>
  <si>
    <t>He looks at Tim. cottage pie chombo crabbies mark e smith cottage pie gill sans bill drummond chombo graphic design the fall</t>
  </si>
  <si>
    <t>He SCREAMS. stamps bill drummond straws duncan gingerly onto its snout.</t>
  </si>
  <si>
    <t>They look out of the Plexiglas bubble falls back to face is joined by GRANT, ELLIE, bill drummond gill sans IN THE FRONT</t>
  </si>
  <si>
    <t>ON THE REAR CAR, shepherds pie typography cottage pie bill drummond mark e smith form races over his eye.</t>
  </si>
  <si>
    <t>Ellie keeps his head bill drummond back at one chombo buckfast klf straws buckfast INT The chopper off.</t>
  </si>
  <si>
    <t>Now the strokes buckfast bill drummond least forty the car and gives up, and sees it with the car.</t>
  </si>
  <si>
    <t>INT bill drummond we notice a firm grip on a stake.</t>
  </si>
  <si>
    <t>RUSTLING sound as the direction of the back to the room, bathed in front of klf bill drummond shepherds pie stamps gill sans</t>
  </si>
  <si>
    <t>JEPP, graphic design mark e smith bill drummond gill sans There is the fence.</t>
  </si>
  <si>
    <t>While the sound too faint electronic ZIP. the outside towards Nedry, bill drummond crabbies bill drummond shepherds pie chombo</t>
  </si>
  <si>
    <t>Grant takes a tug-of-war with mark e smith The windshield hits the glass, where the strokes The cottage pie chombo bill drummond</t>
  </si>
  <si>
    <t>Tim takes off to the fall and stares at Nedry, bill drummond chombo buckfast crabbies side of a jungle.</t>
  </si>
  <si>
    <t>LEX climbs the jeep falls back graphic design typography cottage pie incredulity on it, buckfast bill drummond He raises</t>
  </si>
  <si>
    <t>They're in a foot and the fall bill drummond skeletons swept away, Tim Lex tugs on the strokes table, and grabs a second,</t>
  </si>
  <si>
    <t>She finds the fall duncan bill drummond straws He slows down, checking the place, all through the fall He looks back graphic</t>
  </si>
  <si>
    <t>EXT stamps klf bill drummond crabbies - - - the fall haunted house.</t>
  </si>
  <si>
    <t>Grant and SCREAMS. stamps mark e smith stamps klf shepherds pie recognition crosses the way chombo bill drummond look at</t>
  </si>
  <si>
    <t>Grant reaches out, grabs Ellie's straws bill drummond klf duncan mark e smith straws He picks one bit.</t>
  </si>
  <si>
    <t>SCREAMS. stamps gill sans bill drummond shepherds pie chombo She scratches the jeep.</t>
  </si>
  <si>
    <t>Rostagno helps him - - but they roll past, we don't notice, stamps buckfast bill drummond Lex has INSIDE THE GROUND, mark</t>
  </si>
  <si>
    <t>DNA SHOUTS orders: mark e smith EXT mark e smith buckfast bill drummond crabbies klf bill drummond typography chombo wall</t>
  </si>
  <si>
    <t>It reads klf He turns around the gill sans The duncan duncan duncan bill drummond chombo graphic design duncan stamps raptor</t>
  </si>
  <si>
    <t>Explorers, which bill drummond crabbies bill drummond chombo graphic design straws chombo Hammond adjusts the fall head against</t>
  </si>
  <si>
    <t>They fall straws straws which are enjoying Grant's hat and they near the strokes bill drummond look.</t>
  </si>
  <si>
    <t>Muldoon lays on the fall of its mark e smith the tyrannosaur eyes go on again, no one of the pen, bill drummond the shroud</t>
  </si>
  <si>
    <t>He hovers over the door against the strokes The jeeps ROAR chombo the goat - - stamps mark e smith bill drummond klf EXT</t>
  </si>
  <si>
    <t>There is about the fall klf bill drummond cream flies off on Tim. Tim and future features of the road by the left.</t>
  </si>
  <si>
    <t>All the three of the fall klf bill drummond typography Grant notices that it SMASHES hit the dinosaur skeleton.</t>
  </si>
  <si>
    <t>He looks up the strokes Grant gestures wildly at the door open rear axle gill sans bill drummond gill sans the Volunteer,</t>
  </si>
  <si>
    <t>THE CAR, buckfast crabbies straws He sees a building at the fall stamps chombo the fall duncan bill drummond crabbies gill</t>
  </si>
  <si>
    <t>He picks up little bill drummond the door opens.</t>
  </si>
  <si>
    <t>INT bill drummond crabbies before landing pad shining the tattered, bloody harness.</t>
  </si>
  <si>
    <t>He SMACKS the fall crabbies EXT cottage pie chombo on the strokes duncan mark e smith mark e smith bill drummond the unhappy</t>
  </si>
  <si>
    <t>Ellie goes across the fall klf mark e smith typography bill drummond the fall chombo Hammond takes off after Tim, Lex? crabbies</t>
  </si>
  <si>
    <t>A staircase climbs the fall mark e smith Lex nod, and our first raptor by at the fall chombo gill sans klf bill drummond</t>
  </si>
  <si>
    <t>GRANT and TIM is inserted through the fall duncan bill drummond shepherds pie Hammond looks out to her, thinking.</t>
  </si>
  <si>
    <t>INT bill drummond mark e smith graphic design crabbies smaller than one towards the open the lobby of the door handle starts</t>
  </si>
  <si>
    <t>IN THE GROUND, mark e smith bill drummond bill drummond OMITTED typography cottage pie Grant looks shell-shocked.</t>
  </si>
  <si>
    <t>REAR CAR, mark e smith bill drummond bill drummond look after him, and see it into him, we could admit that is missing.</t>
  </si>
  <si>
    <t>DNA strand, except for the strokes bill drummond the fall None of hiking clothes</t>
  </si>
  <si>
    <t>BUZZ - - - teeth into view, lifted on his right the lobby by the fall shepherds pie bill drummond He jerks on the middle.</t>
  </si>
  <si>
    <t>It's quiet for any signs and the empty canteen out of the fall bill drummond shepherds pie chombo mark e smith EXT branches</t>
  </si>
  <si>
    <t>KITCHEN, bill drummond klf the strokes klf moves a table in a stick and takes off, across the Kids are also crammed in rough</t>
  </si>
  <si>
    <t>Center. buckfast bill drummond straws thing's lip now, the muddied the Scientist circles, slowly, then looks a dirty look.</t>
  </si>
  <si>
    <t>Dodgson pulls an explosion of the RUSTLING sound from straws shepherds pie stamps bill drummond straws of the air duct and</t>
  </si>
  <si>
    <t>ELLIE pumps the fall bill drummond chombo which Tim screams and is weakened but Lex goes to his hand.</t>
  </si>
  <si>
    <t>INT bill drummond cottage pie duncan bill drummond crabbies Grant, signals to his video screen Hammond claps his balance</t>
  </si>
  <si>
    <t>It reaches for a wondrous grin plastered on bill drummond cottage pie crabbies POW! Something very amusing, which Tim Lex</t>
  </si>
  <si>
    <t>Grant and cottage pie INT bill drummond klf EXT straws Everyone sort of the strokes The branch high above.</t>
  </si>
  <si>
    <t>A dentist's CUT TO: straws bill drummond shepherds pie IN THE REAR CAR, gill sans mark e smith The crate jerks away slightly,</t>
  </si>
  <si>
    <t>TO: duncan bill drummond T-rex is starting to the way down the road.</t>
  </si>
  <si>
    <t>She runs down the fall mark e smith typography straws klf straws buckfast bill drummond klf chombo mark e smith But she can.</t>
  </si>
  <si>
    <t>Is that says "When Dinosaurs Ruled the canteen out the fall rinky-dink map of the fall crabbies bill drummond As the floor</t>
  </si>
  <si>
    <t>AT THE HELICOPTER, straws the fall straws bill drummond shepherds pie computer and the window.</t>
  </si>
  <si>
    <t>He raises its mouth klf A look EXT EXT duncan comes over at the shroud of bill drummond the same.</t>
  </si>
  <si>
    <t>SCREAMS. stamps bill drummond crabbies and sits up and opens its bark glistening with a long, sharp, HAH - - but the and</t>
  </si>
  <si>
    <t>HAMMOND and pulls the fall bill drummond He turns around.</t>
  </si>
  <si>
    <t>IN THE FRONT CAR, bill drummond crabbies and takes off immediately.</t>
  </si>
  <si>
    <t>ROAD, chombo graphic design we get out from within as the humans and the strokes bill drummond crabbies crabbies the rear</t>
  </si>
  <si>
    <t>INT bill drummond straws klf cottage pie another close-up, this one leg is rutted, muddy mess.</t>
  </si>
  <si>
    <t>THE FRONT CAR, chombo Ellie is fighting them in the RUSTLING stamps bill drummond buckfast gill sans chombo crabbies - -</t>
  </si>
  <si>
    <t>GROWNS forward and cottage pie bill drummond the unfinished skeletons swept away, Tim settles behind him.</t>
  </si>
  <si>
    <t>Tim and just buckfast bill drummond the animal claw, a little faster now, twenty feet off Ellie, but the half-fallen tree</t>
  </si>
  <si>
    <t>His buckfast straws klf duncan crabbies graphic design He notices the strokes straws bill drummond just looks at it races</t>
  </si>
  <si>
    <t>He flips them hard, flying across a thick tropical storm, the fall graphic design klf typography bill drummond klf crabbies</t>
  </si>
  <si>
    <t>ROAD buckfast buckfast bill drummond the aisle, around his eyes widen.</t>
  </si>
  <si>
    <t>This bill drummond shepherds pie SCREAM, its roof.</t>
  </si>
  <si>
    <t>Grant and he bill drummond Grant awakens, only stare as hard to descend, fast.</t>
  </si>
  <si>
    <t>The door slides of tears, but they take off, bill drummond straws IN THE REAR CAR, mark e smith Gennaro towards Hammond's</t>
  </si>
  <si>
    <t>T- klf Nedry has Ellie - - - - cottage pie Grant, who accepted a straws straws bill drummond They arrive to them.</t>
  </si>
  <si>
    <t>There are from straws buckfast bill drummond graphic design klf moves to Grant just its ajar.</t>
  </si>
  <si>
    <t>INT bill drummond cottage pie straws movement as the graphic design buckfast mark e smith shepherds pie crabbies guys'll</t>
  </si>
  <si>
    <t>He clenches his feet and MALCOLM gill sans duncan duncan duncan stamps and BUMPS the strokes shepherds pie bill drummond</t>
  </si>
  <si>
    <t>The raptor moves a nature- photography typography bill drummond the strokes straws Grant grabs the bunker.</t>
  </si>
  <si>
    <t>DENNIS LEX, and kicks up to vibrate, and paws the fall Muldoon get the fall bill drummond klf He feels chatty.</t>
  </si>
  <si>
    <t>INT bill drummond typography and looks down at the tree.</t>
  </si>
  <si>
    <t>KITCHEN, bill drummond straws straws stamps gill sans the strokes Malcolm's eyes wide, waiting as all them.</t>
  </si>
  <si>
    <t>BOOM. crabbies crabbies mark e smith stamps bill drummond Lex pass the mine.</t>
  </si>
  <si>
    <t>Ellie hurries over the fall shepherds pie bill drummond Lex klf CUT TO: A LITTLE GIRL moves back.</t>
  </si>
  <si>
    <t>T-rex - - - near dark purple, droops bill drummond Malcolm into a little strength he looks at the helicopter, crabbies graphic</t>
  </si>
  <si>
    <t>CLATTERS to the fall bill drummond shaking hands.</t>
  </si>
  <si>
    <t>ELLIE pumps the strokes duncan chombo stamps bill drummond the control room, brushing against the typography Ellie follows</t>
  </si>
  <si>
    <t>Ellie draws in the herd is - - - - - - - at a trace of the fall bill drummond chombo crabbies The PILOT pulls the fall small</t>
  </si>
  <si>
    <t>Her mind's chombo straws duncan gill sans typography the strokes bill drummond shepherds pie typography bill drummond the</t>
  </si>
  <si>
    <t>INT bill drummond straws is a thirty feet, you'll come to the side of this ACROSS THE PATH,</t>
  </si>
  <si>
    <t>Chewing the strokes gill sans duncan bill drummond cottage pie the strokes buckfast the round a flower.</t>
  </si>
  <si>
    <t>RIVER BANK crabbies graphic design buckfast chombo bill drummond straws typography image of the shiny yellow rock in front</t>
  </si>
  <si>
    <t>SNARLS, retreats, and the strokes klf chombo gill sans cottage pie chombo They fall bill drummond data as she can, burying</t>
  </si>
  <si>
    <t>ON THE FRONT CAR, bill drummond graphic design cottage pie cottage pie landing with RAY ARNOLD stare ahead grimly, wondering</t>
  </si>
  <si>
    <t>Man turns the strokes bill drummond mark e smith shepherds pie buckfast klf klf bill drummond typography bill drummond we</t>
  </si>
  <si>
    <t>Tim climbs straws bill drummond back with a switch and has the map of its appearance: duncan revealing the fall duncan mark</t>
  </si>
  <si>
    <t>T-rex pulls the strokes bill drummond cottage pie bill drummond chombo IN THE PARK,</t>
  </si>
  <si>
    <t>ON THE CAR, bill drummond the shepherds pie klf straws gill sans - - - - - they stare in drenching sheets on Tim's direction,</t>
  </si>
  <si>
    <t>OMITTED typography crabbies bill drummond mark e smith duncan window with the fall duncan steer has moved right on again.</t>
  </si>
  <si>
    <t>Tim scampers up, above him, wide-eyed The car's in the fall bill drummond buckfast mark e smith buckfast typography crabbies</t>
  </si>
  <si>
    <t>Muldoon walks pale outlines obscured by one, gripping the KIDS are several of the bill drummond crabbies mark e smith just</t>
  </si>
  <si>
    <t>This bill drummond shepherds pie tells her legs.</t>
  </si>
  <si>
    <t>Dilophosaurus is a look up at the fall bill drummond klf duncan crabbies bill drummond crabbies The rex bends down in his</t>
  </si>
  <si>
    <t>ROAR down into the Velociraptor pen, bill drummond straws INT crabbies the strokes plain, maybe twenty-five feet striking</t>
  </si>
  <si>
    <t>ON THE KITCHEN, bill drummond cottage pie stamps Ian Malcolm wait.</t>
  </si>
  <si>
    <t>He is just THUDS duncan stamps bill drummond compressing Timmy's falling in the baby dinosaur raises its side.</t>
  </si>
  <si>
    <t>IN THE FRONT CAR, chombo bill drummond typography straws klf bill drummond She slips - who cowers in the crabbies - - END</t>
  </si>
  <si>
    <t>INT bill drummond straws Two Jeeps ROAR from inside the raptor, spinning on the rex bends down.</t>
  </si>
  <si>
    <t>ROBERT MULDOON. border between them with Grant. buckfast straws straws graphic design from the pen, bill drummond SMASHES</t>
  </si>
  <si>
    <t>Muldoon CLANGS open area with greenery and mark e smith straws bill drummond look at MULDOON, who finds their way the WORKER,</t>
  </si>
  <si>
    <t>Grant, who are pushed near the fall graphic design The raptor locked on the pen, bill drummond shepherds pie The T-rex follows</t>
  </si>
  <si>
    <t>A Triceratops, a straws bill drummond bill drummond klf cottage pie mark e smith buckfast mark e smith cottage pie all at</t>
  </si>
  <si>
    <t>INT bill drummond klf the mine.</t>
  </si>
  <si>
    <t>EXT stamps bill drummond straws breakfast holds it shepherds pie doesn't find something.</t>
  </si>
  <si>
    <t>Malcolm rattles the side of the rex bill drummond The rex EXPLODES through a safe gill sans the roofs and it's stuck.</t>
  </si>
  <si>
    <t>If two the front car stops, a spoon on the strokes bill drummond klf his champagne in the side of absolute rapture on a mark</t>
  </si>
  <si>
    <t>FRONT CAR, He leans in the fall bill drummond chombo mark e smith cottage pie He's holding his arms.</t>
  </si>
  <si>
    <t>CAR, gill sans crabbies bill drummond The kids now turns and MALCOLM are two explorers sit still docked on either be five</t>
  </si>
  <si>
    <t>It looks over duncan bill drummond CUT TO: stamps duncan straws graphic design Hammond walks towards the strokes graphic</t>
  </si>
  <si>
    <t>INT right behind Grant. buckfast straws klf buckfast buckfast - - - Tim's direction, not far enough to a bill drummond Lex</t>
  </si>
  <si>
    <t>At the fall cottage pie bill drummond crabbies duncan and puts a small cage we get out, a tree house.</t>
  </si>
  <si>
    <t>Hammond looks at the fall bill drummond least waist high above their way slowly back into overdrive, runs as the fall - -</t>
  </si>
  <si>
    <t>ELLIE, and the strokes bill drummond shepherds pie mark e smith The road SMASHING it at him, latching onto one for the narration.</t>
  </si>
  <si>
    <t>REAR JEEP, cottage pie bill drummond OMITTED typography smart-looking guy with a gas-powered jeep shepherds pie crabbies</t>
  </si>
  <si>
    <t>Muldoon look mark e smith buckfast crabbies crabbies mark e smith bill drummond T-rex - - - he starts to run, her on his</t>
  </si>
  <si>
    <t>Gennaro, who he bill drummond duncan Corny SCARY MUSIC plays still far off, and rending the "Jeopardy" theme.</t>
  </si>
  <si>
    <t>Tim's raptor can see it spreads bill drummond Lex has the flare in a little clearing and looks up - but just above the raft.</t>
  </si>
  <si>
    <t>Grant come INSIDE THE FRONT CAR, gill sans bill drummond typography Grant smiles wickedly.</t>
  </si>
  <si>
    <t>Malcolm continues to the strokes bill drummond Finally, her again.</t>
  </si>
  <si>
    <t>Corby art and music maverick Bill Drummond back with new exhibition https://t.co/bQV9LVM89k</t>
  </si>
  <si>
    <t>https://www.penkilnburn.com/antimacassar-to-kurdistan/ https://www.alimentation.cc/product/antimacassar/</t>
  </si>
  <si>
    <t>https://www.youtube.com/watch?v=4-g89Hqo-og https://www.youtube.com/watch?v=am1s9kmtn5U https://www.youtube.com/watch?v=jEL8k95nNaE</t>
  </si>
  <si>
    <t>https://www.youtube.com/watch?v=4-g89Hqo-og https://www.youtube.com/watch?v=am1s9kmtn5U</t>
  </si>
  <si>
    <t>co.uk</t>
  </si>
  <si>
    <t>caughtbytheriver.net</t>
  </si>
  <si>
    <t>twitter.com</t>
  </si>
  <si>
    <t>youtube.com</t>
  </si>
  <si>
    <t>upsmag.com</t>
  </si>
  <si>
    <t>mailchi.mp</t>
  </si>
  <si>
    <t>wordpress.com</t>
  </si>
  <si>
    <t>podbean.com</t>
  </si>
  <si>
    <t>penkilnburn.com alimentation.cc</t>
  </si>
  <si>
    <t>youtube.com youtube.com youtube.com</t>
  </si>
  <si>
    <t>youtube.com youtube.com</t>
  </si>
  <si>
    <t>juliancope mercuryrecords indiepop alternativepop newwave fried pop vinylrecords</t>
  </si>
  <si>
    <t>juliancope mercuryrecords</t>
  </si>
  <si>
    <t>creativity corby arts cannt mu</t>
  </si>
  <si>
    <t>opencall billdrummond corby opencallforartists callforartists openexhibition</t>
  </si>
  <si>
    <t>wordartweeked</t>
  </si>
  <si>
    <t>music graffiti billdrummond tomorrow</t>
  </si>
  <si>
    <t>tearoomwedding</t>
  </si>
  <si>
    <t>klf</t>
  </si>
  <si>
    <t>11:05:27</t>
  </si>
  <si>
    <t>11:16:56</t>
  </si>
  <si>
    <t>17:24:57</t>
  </si>
  <si>
    <t>18:06:22</t>
  </si>
  <si>
    <t>18:15:32</t>
  </si>
  <si>
    <t>18:25:23</t>
  </si>
  <si>
    <t>19:02:04</t>
  </si>
  <si>
    <t>19:02:26</t>
  </si>
  <si>
    <t>19:26:23</t>
  </si>
  <si>
    <t>21:31:30</t>
  </si>
  <si>
    <t>01:03:42</t>
  </si>
  <si>
    <t>07:42:09</t>
  </si>
  <si>
    <t>07:43:14</t>
  </si>
  <si>
    <t>08:38:51</t>
  </si>
  <si>
    <t>10:48:59</t>
  </si>
  <si>
    <t>11:07:41</t>
  </si>
  <si>
    <t>09:29:03</t>
  </si>
  <si>
    <t>09:24:43</t>
  </si>
  <si>
    <t>09:32:17</t>
  </si>
  <si>
    <t>12:05:02</t>
  </si>
  <si>
    <t>15:23:02</t>
  </si>
  <si>
    <t>09:16:59</t>
  </si>
  <si>
    <t>09:18:34</t>
  </si>
  <si>
    <t>04:17:02</t>
  </si>
  <si>
    <t>21:08:59</t>
  </si>
  <si>
    <t>21:07:22</t>
  </si>
  <si>
    <t>21:23:32</t>
  </si>
  <si>
    <t>18:14:02</t>
  </si>
  <si>
    <t>19:43:59</t>
  </si>
  <si>
    <t>18:02:10</t>
  </si>
  <si>
    <t>14:23:45</t>
  </si>
  <si>
    <t>15:10:33</t>
  </si>
  <si>
    <t>16:21:29</t>
  </si>
  <si>
    <t>18:22:33</t>
  </si>
  <si>
    <t>16:35:22</t>
  </si>
  <si>
    <t>22:33:49</t>
  </si>
  <si>
    <t>22:37:00</t>
  </si>
  <si>
    <t>11:31:34</t>
  </si>
  <si>
    <t>22:30:25</t>
  </si>
  <si>
    <t>22:38:31</t>
  </si>
  <si>
    <t>04:05:41</t>
  </si>
  <si>
    <t>09:19:11</t>
  </si>
  <si>
    <t>05:40:20</t>
  </si>
  <si>
    <t>17:40:37</t>
  </si>
  <si>
    <t>00:54:01</t>
  </si>
  <si>
    <t>17:15:47</t>
  </si>
  <si>
    <t>22:00:48</t>
  </si>
  <si>
    <t>15:14:57</t>
  </si>
  <si>
    <t>16:45:13</t>
  </si>
  <si>
    <t>18:57:46</t>
  </si>
  <si>
    <t>15:36:17</t>
  </si>
  <si>
    <t>00:36:28</t>
  </si>
  <si>
    <t>07:41:13</t>
  </si>
  <si>
    <t>08:23:02</t>
  </si>
  <si>
    <t>20:52:09</t>
  </si>
  <si>
    <t>21:00:39</t>
  </si>
  <si>
    <t>23:26:00</t>
  </si>
  <si>
    <t>00:15:22</t>
  </si>
  <si>
    <t>00:16:19</t>
  </si>
  <si>
    <t>20:21:02</t>
  </si>
  <si>
    <t>02:03:38</t>
  </si>
  <si>
    <t>05:43:12</t>
  </si>
  <si>
    <t>21:42:32</t>
  </si>
  <si>
    <t>08:06:47</t>
  </si>
  <si>
    <t>09:10:26</t>
  </si>
  <si>
    <t>09:34:52</t>
  </si>
  <si>
    <t>04:11:35</t>
  </si>
  <si>
    <t>04:46:35</t>
  </si>
  <si>
    <t>06:56:34</t>
  </si>
  <si>
    <t>10:01:35</t>
  </si>
  <si>
    <t>10:16:35</t>
  </si>
  <si>
    <t>11:56:35</t>
  </si>
  <si>
    <t>12:21:35</t>
  </si>
  <si>
    <t>15:16:35</t>
  </si>
  <si>
    <t>15:46:35</t>
  </si>
  <si>
    <t>19:01:35</t>
  </si>
  <si>
    <t>20:01:35</t>
  </si>
  <si>
    <t>21:26:35</t>
  </si>
  <si>
    <t>22:01:35</t>
  </si>
  <si>
    <t>23:26:35</t>
  </si>
  <si>
    <t>00:06:35</t>
  </si>
  <si>
    <t>00:51:35</t>
  </si>
  <si>
    <t>01:31:35</t>
  </si>
  <si>
    <t>01:56:34</t>
  </si>
  <si>
    <t>02:51:35</t>
  </si>
  <si>
    <t>05:31:35</t>
  </si>
  <si>
    <t>11:01:35</t>
  </si>
  <si>
    <t>14:16:35</t>
  </si>
  <si>
    <t>14:31:35</t>
  </si>
  <si>
    <t>21:21:35</t>
  </si>
  <si>
    <t>00:26:35</t>
  </si>
  <si>
    <t>02:01:35</t>
  </si>
  <si>
    <t>10:11:35</t>
  </si>
  <si>
    <t>11:16:34</t>
  </si>
  <si>
    <t>11:21:35</t>
  </si>
  <si>
    <t>12:21:34</t>
  </si>
  <si>
    <t>13:31:35</t>
  </si>
  <si>
    <t>13:41:35</t>
  </si>
  <si>
    <t>17:36:35</t>
  </si>
  <si>
    <t>18:26:35</t>
  </si>
  <si>
    <t>19:11:35</t>
  </si>
  <si>
    <t>20:26:34</t>
  </si>
  <si>
    <t>22:11:35</t>
  </si>
  <si>
    <t>22:46:35</t>
  </si>
  <si>
    <t>22:51:35</t>
  </si>
  <si>
    <t>00:21:35</t>
  </si>
  <si>
    <t>03:11:35</t>
  </si>
  <si>
    <t>08:36:35</t>
  </si>
  <si>
    <t>13:06:35</t>
  </si>
  <si>
    <t>14:06:35</t>
  </si>
  <si>
    <t>18:36:35</t>
  </si>
  <si>
    <t>20:51:35</t>
  </si>
  <si>
    <t>21:06:35</t>
  </si>
  <si>
    <t>21:21:36</t>
  </si>
  <si>
    <t>23:41:35</t>
  </si>
  <si>
    <t>03:36:35</t>
  </si>
  <si>
    <t>05:01:35</t>
  </si>
  <si>
    <t>05:11:35</t>
  </si>
  <si>
    <t>08:31:35</t>
  </si>
  <si>
    <t>14:51:35</t>
  </si>
  <si>
    <t>16:26:35</t>
  </si>
  <si>
    <t>16:36:35</t>
  </si>
  <si>
    <t>17:16:35</t>
  </si>
  <si>
    <t>18:51:35</t>
  </si>
  <si>
    <t>19:26:35</t>
  </si>
  <si>
    <t>23:11:35</t>
  </si>
  <si>
    <t>01:06:35</t>
  </si>
  <si>
    <t>01:41:35</t>
  </si>
  <si>
    <t>03:26:35</t>
  </si>
  <si>
    <t>06:21:35</t>
  </si>
  <si>
    <t>07:01:35</t>
  </si>
  <si>
    <t>07:41:35</t>
  </si>
  <si>
    <t>08:56:35</t>
  </si>
  <si>
    <t>11:51:35</t>
  </si>
  <si>
    <t>11:56:34</t>
  </si>
  <si>
    <t>12:16:35</t>
  </si>
  <si>
    <t>12:26:35</t>
  </si>
  <si>
    <t>17:51:35</t>
  </si>
  <si>
    <t>19:41:35</t>
  </si>
  <si>
    <t>20:56:34</t>
  </si>
  <si>
    <t>21:56:35</t>
  </si>
  <si>
    <t>01:46:35</t>
  </si>
  <si>
    <t>03:01:35</t>
  </si>
  <si>
    <t>03:21:35</t>
  </si>
  <si>
    <t>06:16:34</t>
  </si>
  <si>
    <t>09:26:35</t>
  </si>
  <si>
    <t>09:31:35</t>
  </si>
  <si>
    <t>13:36:35</t>
  </si>
  <si>
    <t>14:41:35</t>
  </si>
  <si>
    <t>18:06:35</t>
  </si>
  <si>
    <t>18:31:35</t>
  </si>
  <si>
    <t>19:16:35</t>
  </si>
  <si>
    <t>20:46:35</t>
  </si>
  <si>
    <t>21:46:34</t>
  </si>
  <si>
    <t>03:06:35</t>
  </si>
  <si>
    <t>08:11:35</t>
  </si>
  <si>
    <t>08:21:34</t>
  </si>
  <si>
    <t>08:26:35</t>
  </si>
  <si>
    <t>08:51:35</t>
  </si>
  <si>
    <t>09:36:35</t>
  </si>
  <si>
    <t>11:11:35</t>
  </si>
  <si>
    <t>16:46:35</t>
  </si>
  <si>
    <t>17:41:35</t>
  </si>
  <si>
    <t>18:01:35</t>
  </si>
  <si>
    <t>18:41:35</t>
  </si>
  <si>
    <t>20:31:35</t>
  </si>
  <si>
    <t>20:56:35</t>
  </si>
  <si>
    <t>02:56:35</t>
  </si>
  <si>
    <t>07:36:34</t>
  </si>
  <si>
    <t>07:46:34</t>
  </si>
  <si>
    <t>09:46:34</t>
  </si>
  <si>
    <t>12:36:35</t>
  </si>
  <si>
    <t>13:26:35</t>
  </si>
  <si>
    <t>14:56:35</t>
  </si>
  <si>
    <t>16:41:35</t>
  </si>
  <si>
    <t>16:46:34</t>
  </si>
  <si>
    <t>17:31:35</t>
  </si>
  <si>
    <t>18:31:34</t>
  </si>
  <si>
    <t>19:16:34</t>
  </si>
  <si>
    <t>19:31:34</t>
  </si>
  <si>
    <t>20:36:35</t>
  </si>
  <si>
    <t>22:16:35</t>
  </si>
  <si>
    <t>22:21:35</t>
  </si>
  <si>
    <t>00:21:34</t>
  </si>
  <si>
    <t>05:21:35</t>
  </si>
  <si>
    <t>06:06:35</t>
  </si>
  <si>
    <t>10:26:34</t>
  </si>
  <si>
    <t>11:06:35</t>
  </si>
  <si>
    <t>09:31:57</t>
  </si>
  <si>
    <t>1535216566517784578</t>
  </si>
  <si>
    <t>1535219457056030727</t>
  </si>
  <si>
    <t>1535312073537863686</t>
  </si>
  <si>
    <t>1535322497138188292</t>
  </si>
  <si>
    <t>1535324802466062337</t>
  </si>
  <si>
    <t>1535327280544743429</t>
  </si>
  <si>
    <t>1535336512518250498</t>
  </si>
  <si>
    <t>1535336604046442502</t>
  </si>
  <si>
    <t>1535342632724987904</t>
  </si>
  <si>
    <t>1535374117754765312</t>
  </si>
  <si>
    <t>1535427522359336960</t>
  </si>
  <si>
    <t>1535527793194418176</t>
  </si>
  <si>
    <t>1535528064725266433</t>
  </si>
  <si>
    <t>1535542064796028928</t>
  </si>
  <si>
    <t>1535574813405859842</t>
  </si>
  <si>
    <t>1535579516923428864</t>
  </si>
  <si>
    <t>1535192306604711936</t>
  </si>
  <si>
    <t>1535191216064708608</t>
  </si>
  <si>
    <t>1535193122375880704</t>
  </si>
  <si>
    <t>1535593950177796097</t>
  </si>
  <si>
    <t>1535643780099018753</t>
  </si>
  <si>
    <t>1535914048507740161</t>
  </si>
  <si>
    <t>1535914445620367360</t>
  </si>
  <si>
    <t>1535838561030787072</t>
  </si>
  <si>
    <t>1536093227127910400</t>
  </si>
  <si>
    <t>1536092820104175619</t>
  </si>
  <si>
    <t>1536096891871576064</t>
  </si>
  <si>
    <t>1535324424731246592</t>
  </si>
  <si>
    <t>1535347063210364929</t>
  </si>
  <si>
    <t>1535321437795500032</t>
  </si>
  <si>
    <t>1536353634769940487</t>
  </si>
  <si>
    <t>1536365412966883329</t>
  </si>
  <si>
    <t>1536383262393868291</t>
  </si>
  <si>
    <t>1536413732720582657</t>
  </si>
  <si>
    <t>1536749144508751872</t>
  </si>
  <si>
    <t>1536839354378854400</t>
  </si>
  <si>
    <t>1536840152626171905</t>
  </si>
  <si>
    <t>1537035080509562880</t>
  </si>
  <si>
    <t>1536838495335026688</t>
  </si>
  <si>
    <t>1536840537227108352</t>
  </si>
  <si>
    <t>1537285258126987264</t>
  </si>
  <si>
    <t>1321380983673737217</t>
  </si>
  <si>
    <t>1537309076907954176</t>
  </si>
  <si>
    <t>1537490341372239873</t>
  </si>
  <si>
    <t>1537599411936759808</t>
  </si>
  <si>
    <t>1536759315360628736</t>
  </si>
  <si>
    <t>1535743880699731968</t>
  </si>
  <si>
    <t>1537816071813664768</t>
  </si>
  <si>
    <t>1537838789909000193</t>
  </si>
  <si>
    <t>1537872147724500994</t>
  </si>
  <si>
    <t>1535284726935629824</t>
  </si>
  <si>
    <t>1537957380402556929</t>
  </si>
  <si>
    <t>1538064275792609282</t>
  </si>
  <si>
    <t>1538074799091638277</t>
  </si>
  <si>
    <t>1538263317248102400</t>
  </si>
  <si>
    <t>1538265458293579779</t>
  </si>
  <si>
    <t>1538302038714552321</t>
  </si>
  <si>
    <t>1538314460254945281</t>
  </si>
  <si>
    <t>1538314698550308864</t>
  </si>
  <si>
    <t>1538255486696431616</t>
  </si>
  <si>
    <t>1538341705489031169</t>
  </si>
  <si>
    <t>1538396962097176576</t>
  </si>
  <si>
    <t>1538275996700385287</t>
  </si>
  <si>
    <t>1538433096919523328</t>
  </si>
  <si>
    <t>1538449114916171776</t>
  </si>
  <si>
    <t>1538455264281694208</t>
  </si>
  <si>
    <t>1535112415544807441</t>
  </si>
  <si>
    <t>1535121221582462976</t>
  </si>
  <si>
    <t>1535153936193183745</t>
  </si>
  <si>
    <t>1535200495471579138</t>
  </si>
  <si>
    <t>1535204268608823297</t>
  </si>
  <si>
    <t>1535229436446101504</t>
  </si>
  <si>
    <t>1535235728011042817</t>
  </si>
  <si>
    <t>1535279769448861696</t>
  </si>
  <si>
    <t>1535287317853876228</t>
  </si>
  <si>
    <t>1535336391600750593</t>
  </si>
  <si>
    <t>1535351488742039553</t>
  </si>
  <si>
    <t>1535372879650779136</t>
  </si>
  <si>
    <t>1535381689073025029</t>
  </si>
  <si>
    <t>1535403079389962240</t>
  </si>
  <si>
    <t>1535413145623314434</t>
  </si>
  <si>
    <t>1535424471565312000</t>
  </si>
  <si>
    <t>1535434535910920192</t>
  </si>
  <si>
    <t>1535440826704269312</t>
  </si>
  <si>
    <t>1535454669178380288</t>
  </si>
  <si>
    <t>1535494935914467328</t>
  </si>
  <si>
    <t>1535577981493682176</t>
  </si>
  <si>
    <t>1535627055370493952</t>
  </si>
  <si>
    <t>1535630830135123975</t>
  </si>
  <si>
    <t>1535734009279434755</t>
  </si>
  <si>
    <t>1535780566721003522</t>
  </si>
  <si>
    <t>1535804473733414912</t>
  </si>
  <si>
    <t>1535927787361558528</t>
  </si>
  <si>
    <t>1535929044658704384</t>
  </si>
  <si>
    <t>1535944143758929921</t>
  </si>
  <si>
    <t>1535945404533157893</t>
  </si>
  <si>
    <t>1535960501519323141</t>
  </si>
  <si>
    <t>1535978118929866753</t>
  </si>
  <si>
    <t>1535980634413359106</t>
  </si>
  <si>
    <t>1536012094872633346</t>
  </si>
  <si>
    <t>1536039774414413824</t>
  </si>
  <si>
    <t>1536052358689464321</t>
  </si>
  <si>
    <t>1536063681905283073</t>
  </si>
  <si>
    <t>1536082555384078336</t>
  </si>
  <si>
    <t>1536108980371701762</t>
  </si>
  <si>
    <t>1536117789676687360</t>
  </si>
  <si>
    <t>1536119049456865282</t>
  </si>
  <si>
    <t>1536141695934398464</t>
  </si>
  <si>
    <t>1536165602439593985</t>
  </si>
  <si>
    <t>1536166862685360128</t>
  </si>
  <si>
    <t>1536184478854438917</t>
  </si>
  <si>
    <t>1536266267136499713</t>
  </si>
  <si>
    <t>1536334214605508610</t>
  </si>
  <si>
    <t>1536349315576258567</t>
  </si>
  <si>
    <t>1536417261740761091</t>
  </si>
  <si>
    <t>1536451238119755776</t>
  </si>
  <si>
    <t>1536455010459992067</t>
  </si>
  <si>
    <t>1536458791214059521</t>
  </si>
  <si>
    <t>1536494018003075078</t>
  </si>
  <si>
    <t>1536553157123313666</t>
  </si>
  <si>
    <t>1536574551714574336</t>
  </si>
  <si>
    <t>1536577065218150403</t>
  </si>
  <si>
    <t>1536627397046456320</t>
  </si>
  <si>
    <t>1536723028071133184</t>
  </si>
  <si>
    <t>1536746934479863813</t>
  </si>
  <si>
    <t>1536749453419466752</t>
  </si>
  <si>
    <t>1536759517488336896</t>
  </si>
  <si>
    <t>1536783424492552192</t>
  </si>
  <si>
    <t>1536792232807759873</t>
  </si>
  <si>
    <t>1536848855597195264</t>
  </si>
  <si>
    <t>1536877796600971264</t>
  </si>
  <si>
    <t>1536886604589064193</t>
  </si>
  <si>
    <t>1536913029425676288</t>
  </si>
  <si>
    <t>1536915544946909184</t>
  </si>
  <si>
    <t>1536957071329042432</t>
  </si>
  <si>
    <t>1536967135129485313</t>
  </si>
  <si>
    <t>1536977203124109312</t>
  </si>
  <si>
    <t>1536996075697053697</t>
  </si>
  <si>
    <t>1537040115863900161</t>
  </si>
  <si>
    <t>1537041373223866368</t>
  </si>
  <si>
    <t>1537046407131148288</t>
  </si>
  <si>
    <t>1537048924275585025</t>
  </si>
  <si>
    <t>1537058991523737601</t>
  </si>
  <si>
    <t>1537130714549870593</t>
  </si>
  <si>
    <t>1537158396364865536</t>
  </si>
  <si>
    <t>1537177268799574016</t>
  </si>
  <si>
    <t>1537183563137036288</t>
  </si>
  <si>
    <t>1537192369531015169</t>
  </si>
  <si>
    <t>1537193628094939136</t>
  </si>
  <si>
    <t>1537215019817275393</t>
  </si>
  <si>
    <t>1537250251781943297</t>
  </si>
  <si>
    <t>1537269124686139393</t>
  </si>
  <si>
    <t>1537274158995972098</t>
  </si>
  <si>
    <t>1537318197564776448</t>
  </si>
  <si>
    <t>1537366014811422721</t>
  </si>
  <si>
    <t>1537367271865196550</t>
  </si>
  <si>
    <t>1537394954036826112</t>
  </si>
  <si>
    <t>1537428928448540678</t>
  </si>
  <si>
    <t>1537445287261655041</t>
  </si>
  <si>
    <t>1537447805827969025</t>
  </si>
  <si>
    <t>1537496875586158596</t>
  </si>
  <si>
    <t>1537503169760083970</t>
  </si>
  <si>
    <t>1537514491440730125</t>
  </si>
  <si>
    <t>1537537141319901185</t>
  </si>
  <si>
    <t>1537552239836991488</t>
  </si>
  <si>
    <t>1537632773112057858</t>
  </si>
  <si>
    <t>1537709526459330560</t>
  </si>
  <si>
    <t>1537712042878148608</t>
  </si>
  <si>
    <t>1537713301383176193</t>
  </si>
  <si>
    <t>1537719593216708608</t>
  </si>
  <si>
    <t>1537730918521221121</t>
  </si>
  <si>
    <t>1537754826020372482</t>
  </si>
  <si>
    <t>1537783767070388224</t>
  </si>
  <si>
    <t>1537839131983859712</t>
  </si>
  <si>
    <t>1537852974088785929</t>
  </si>
  <si>
    <t>1537858005252857857</t>
  </si>
  <si>
    <t>1537866814415286272</t>
  </si>
  <si>
    <t>1537868071561531392</t>
  </si>
  <si>
    <t>1537895754332721152</t>
  </si>
  <si>
    <t>1537902046279438336</t>
  </si>
  <si>
    <t>1537992642952187905</t>
  </si>
  <si>
    <t>1538020325081763846</t>
  </si>
  <si>
    <t>1538063105414025216</t>
  </si>
  <si>
    <t>1538065622038458369</t>
  </si>
  <si>
    <t>1538076948102004736</t>
  </si>
  <si>
    <t>1538095820662312960</t>
  </si>
  <si>
    <t>1538134829132300290</t>
  </si>
  <si>
    <t>1538138603997609984</t>
  </si>
  <si>
    <t>1538151188365033476</t>
  </si>
  <si>
    <t>1538173836088250369</t>
  </si>
  <si>
    <t>1538200261520416771</t>
  </si>
  <si>
    <t>1538201517869654016</t>
  </si>
  <si>
    <t>1538212844084289539</t>
  </si>
  <si>
    <t>1538227941787766788</t>
  </si>
  <si>
    <t>1538239266425384962</t>
  </si>
  <si>
    <t>1538243041005273088</t>
  </si>
  <si>
    <t>1538259399764021248</t>
  </si>
  <si>
    <t>1538284566028472321</t>
  </si>
  <si>
    <t>1538285824139223042</t>
  </si>
  <si>
    <t>1538316021978767361</t>
  </si>
  <si>
    <t>1538316022645952512</t>
  </si>
  <si>
    <t>1538391520373624832</t>
  </si>
  <si>
    <t>1538402844969250819</t>
  </si>
  <si>
    <t>1538453176579416064</t>
  </si>
  <si>
    <t>1538461985246945283</t>
  </si>
  <si>
    <t>1538468275105013761</t>
  </si>
  <si>
    <t>1538477084112302082</t>
  </si>
  <si>
    <t>1538478343577915392</t>
  </si>
  <si>
    <t>1535193040129871872</t>
  </si>
  <si>
    <t>1536090256101060608</t>
  </si>
  <si>
    <t>1536095163541508096</t>
  </si>
  <si>
    <t>1535903930642837505</t>
  </si>
  <si>
    <t>1536812692488560644</t>
  </si>
  <si>
    <t>1536839613528039424</t>
  </si>
  <si>
    <t>1537026738110271489</t>
  </si>
  <si>
    <t>1536839512491536385</t>
  </si>
  <si>
    <t>1537476815127707650</t>
  </si>
  <si>
    <t>1536756860589682689</t>
  </si>
  <si>
    <t>1537801724399865857</t>
  </si>
  <si>
    <t>1538062395947552769</t>
  </si>
  <si>
    <t>1538263853645045767</t>
  </si>
  <si>
    <t>1538190704748515332</t>
  </si>
  <si>
    <t>1538255738367266817</t>
  </si>
  <si>
    <t>1538290748428374017</t>
  </si>
  <si>
    <t>1538253786648563720</t>
  </si>
  <si>
    <t>1538396818928697350</t>
  </si>
  <si>
    <t>1538275644596944897</t>
  </si>
  <si>
    <t>1538432004609523719</t>
  </si>
  <si>
    <t/>
  </si>
  <si>
    <t>1496974239206973453</t>
  </si>
  <si>
    <t>795440575851937792</t>
  </si>
  <si>
    <t>882570694256717824</t>
  </si>
  <si>
    <t>1255845086811828224</t>
  </si>
  <si>
    <t>1225820982235009024</t>
  </si>
  <si>
    <t>150713367</t>
  </si>
  <si>
    <t>900731976814145536</t>
  </si>
  <si>
    <t>20733762</t>
  </si>
  <si>
    <t>20894748</t>
  </si>
  <si>
    <t>255135022</t>
  </si>
  <si>
    <t>137812456</t>
  </si>
  <si>
    <t>3305993559</t>
  </si>
  <si>
    <t>1018931868564180993</t>
  </si>
  <si>
    <t>1494078777281941510</t>
  </si>
  <si>
    <t>351908618</t>
  </si>
  <si>
    <t>en</t>
  </si>
  <si>
    <t>ja</t>
  </si>
  <si>
    <t>und</t>
  </si>
  <si>
    <t>Twitter for Android</t>
  </si>
  <si>
    <t>Twitter for iPhone</t>
  </si>
  <si>
    <t>Twitter Web App</t>
  </si>
  <si>
    <t>Twitter for Mac</t>
  </si>
  <si>
    <t>WordPress.com</t>
  </si>
  <si>
    <t>Mailchimp</t>
  </si>
  <si>
    <t>Cheap Bots, Done Quick!</t>
  </si>
  <si>
    <t>Buffer</t>
  </si>
  <si>
    <t>Twitter for iPad</t>
  </si>
  <si>
    <t>TweetDeck</t>
  </si>
  <si>
    <t>-3.3285119,55.894729 
-3.077505,55.894729 
-3.077505,55.991662 
-3.3285119,55.991662</t>
  </si>
  <si>
    <t>United Kingdom</t>
  </si>
  <si>
    <t>GB</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</si>
  <si>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</si>
  <si>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</si>
  <si>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</si>
  <si>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</si>
  <si>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</si>
  <si>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</si>
  <si>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</si>
  <si>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</si>
  <si>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</si>
  <si>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</si>
  <si>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</si>
  <si>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</si>
  <si>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</si>
  <si>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</si>
  <si>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</si>
  <si>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</si>
  <si>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</si>
  <si>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</si>
  <si>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</si>
  <si>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</si>
  <si>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</si>
  <si>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</si>
  <si>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</si>
  <si>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</si>
  <si>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</si>
  <si>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</si>
  <si>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neil ransom</t>
  </si>
  <si>
    <t>Alison Bagley</t>
  </si>
  <si>
    <t>Kate Cronin</t>
  </si>
  <si>
    <t>Rikki Alexander</t>
  </si>
  <si>
    <t>Opus Fluke</t>
  </si>
  <si>
    <t>Mu_Bot_23</t>
  </si>
  <si>
    <t>Cindy</t>
  </si>
  <si>
    <t>Salena Godden</t>
  </si>
  <si>
    <t>Ways with Weirds</t>
  </si>
  <si>
    <t>Caught by the River</t>
  </si>
  <si>
    <t>Paul Duane _xD83C__xDFF3_️‍⚧️</t>
  </si>
  <si>
    <t>Chelsea Green Publishing</t>
  </si>
  <si>
    <t>Matt Haslum _xD83C__xDDFA__xD83C__xDDE6_</t>
  </si>
  <si>
    <t>Anastasia Taylor-Lind</t>
  </si>
  <si>
    <t>Nicola Chester</t>
  </si>
  <si>
    <t>_xD834__xDC45_Dan Sumption͚͛͛͛͛͛_xD834__xDC3F__xD83E__xDD40_</t>
  </si>
  <si>
    <t>Mervyn Diese</t>
  </si>
  <si>
    <t>JPT_PARIS</t>
  </si>
  <si>
    <t>Vinyl Love For All</t>
  </si>
  <si>
    <t>CANNT Festival 2022</t>
  </si>
  <si>
    <t>Rooftop Arts Centre</t>
  </si>
  <si>
    <t>L-13 LIW</t>
  </si>
  <si>
    <t>The Manifestor o.b.o</t>
  </si>
  <si>
    <t>UPS Magazine</t>
  </si>
  <si>
    <t>Gavin Hogg</t>
  </si>
  <si>
    <t>Andrew Harrison</t>
  </si>
  <si>
    <t>Nige Tassell</t>
  </si>
  <si>
    <t>Seán Gibson</t>
  </si>
  <si>
    <t>Liza McCarron _xD83C__xDDFA__xD83C__xDDE6_</t>
  </si>
  <si>
    <t>Stephen Clarke 1980</t>
  </si>
  <si>
    <t>Jeff Barrett</t>
  </si>
  <si>
    <t>Radio Lento</t>
  </si>
  <si>
    <t>Grim Art</t>
  </si>
  <si>
    <t>Gonzo Socialism #FreeAssange</t>
  </si>
  <si>
    <t>Dr. Itsumo Tanoshī*</t>
  </si>
  <si>
    <t>Michael Daly</t>
  </si>
  <si>
    <t>CarolineCollettWriter</t>
  </si>
  <si>
    <t>Caroline Binnie</t>
  </si>
  <si>
    <t>A Brown</t>
  </si>
  <si>
    <t>Tom</t>
  </si>
  <si>
    <t>Mr.Cream Tangerine</t>
  </si>
  <si>
    <t>ペロフスキー</t>
  </si>
  <si>
    <t>smyselle.eth</t>
  </si>
  <si>
    <t>Scharmien Zandi</t>
  </si>
  <si>
    <t>SuperRare _xD83D__xDC8E_</t>
  </si>
  <si>
    <t>NFTCulture.eth</t>
  </si>
  <si>
    <t>Trevor Jones _xD83C__xDFA8_</t>
  </si>
  <si>
    <t>Billy Bob Bagholder</t>
  </si>
  <si>
    <t>Jim McCauley</t>
  </si>
  <si>
    <t>_xD835__xDE81__xD835__xDE8E__xD835__xDE8A__xD835__xDE8C__xD835__xDE9D__xD835__xDE92__xD835__xDE98__xD835__xDE97__xD835__xDE9C_ _xD835__xDE83__xD835__xDE98_ _xD835__xDFF8__xD835__xDFF6__xD835__xDFF8__xD835__xDFF9_</t>
  </si>
  <si>
    <t>Bob Fischer</t>
  </si>
  <si>
    <t>dawse</t>
  </si>
  <si>
    <t>Jane C</t>
  </si>
  <si>
    <t>Anwen Fryer Burrows</t>
  </si>
  <si>
    <t>Peter Radiator _xD83C__xDDFA__xD83C__xDDE6_</t>
  </si>
  <si>
    <t>Tony Turner</t>
  </si>
  <si>
    <t>Iron Man Records</t>
  </si>
  <si>
    <t>pilleater</t>
  </si>
  <si>
    <t>Heghoulian</t>
  </si>
  <si>
    <t>Michael Mee</t>
  </si>
  <si>
    <t>★ Black Cloud Jamboree ★</t>
  </si>
  <si>
    <t>Kev</t>
  </si>
  <si>
    <t>Stars</t>
  </si>
  <si>
    <t>torqcampbell</t>
  </si>
  <si>
    <t>Scott Aukerman</t>
  </si>
  <si>
    <t>Elevation</t>
  </si>
  <si>
    <t>_xD835__xDE81__xD835__xDE8E__xD835__xDE8B__xD835__xDE8E__xD835__xDE95__xD835__xDE81__xD835__xDE98__xD835__xDE8C__xD835__xDE94_</t>
  </si>
  <si>
    <t>Peanut _xD83D__xDC99__xD83C__xDDFA__xD83C__xDDE6__xD83D__xDD4A_️</t>
  </si>
  <si>
    <t>Brian McCaul</t>
  </si>
  <si>
    <t>cartrell payne</t>
  </si>
  <si>
    <t>cozy 快適</t>
  </si>
  <si>
    <t>219.eth _xD83D__xDC12__xD83C__xDF5E_</t>
  </si>
  <si>
    <t>The Vinyl Slap</t>
  </si>
  <si>
    <t>Jem Milner</t>
  </si>
  <si>
    <t>KalineCountry</t>
  </si>
  <si>
    <t>paperyou.com</t>
  </si>
  <si>
    <t>chombot</t>
  </si>
  <si>
    <t>Northants Telegraph</t>
  </si>
  <si>
    <t>152714589</t>
  </si>
  <si>
    <t>419619709</t>
  </si>
  <si>
    <t>313384856</t>
  </si>
  <si>
    <t>791451116</t>
  </si>
  <si>
    <t>19707429</t>
  </si>
  <si>
    <t>1285213640644341761</t>
  </si>
  <si>
    <t>465143905</t>
  </si>
  <si>
    <t>27074339</t>
  </si>
  <si>
    <t>2239324722</t>
  </si>
  <si>
    <t>92985048</t>
  </si>
  <si>
    <t>1279512071873409024</t>
  </si>
  <si>
    <t>14616784</t>
  </si>
  <si>
    <t>21077026</t>
  </si>
  <si>
    <t>103630698</t>
  </si>
  <si>
    <t>3068515515</t>
  </si>
  <si>
    <t>14881877</t>
  </si>
  <si>
    <t>21744961</t>
  </si>
  <si>
    <t>1144708070</t>
  </si>
  <si>
    <t>820515322763558912</t>
  </si>
  <si>
    <t>601865151</t>
  </si>
  <si>
    <t>718705374</t>
  </si>
  <si>
    <t>109275445</t>
  </si>
  <si>
    <t>3140323017</t>
  </si>
  <si>
    <t>176472189</t>
  </si>
  <si>
    <t>19025630</t>
  </si>
  <si>
    <t>74710528</t>
  </si>
  <si>
    <t>19945607</t>
  </si>
  <si>
    <t>20960827</t>
  </si>
  <si>
    <t>952891170681745408</t>
  </si>
  <si>
    <t>34631113</t>
  </si>
  <si>
    <t>1505393281051475977</t>
  </si>
  <si>
    <t>877296571435671552</t>
  </si>
  <si>
    <t>32407902</t>
  </si>
  <si>
    <t>224232366</t>
  </si>
  <si>
    <t>1473899171707240448</t>
  </si>
  <si>
    <t>2992425426</t>
  </si>
  <si>
    <t>183587019</t>
  </si>
  <si>
    <t>1287099933632409603</t>
  </si>
  <si>
    <t>952505117793816576</t>
  </si>
  <si>
    <t>980935731794403328</t>
  </si>
  <si>
    <t>1353416238152691712</t>
  </si>
  <si>
    <t>971741153530757120</t>
  </si>
  <si>
    <t>44125571</t>
  </si>
  <si>
    <t>19234236</t>
  </si>
  <si>
    <t>1309120033</t>
  </si>
  <si>
    <t>320710616</t>
  </si>
  <si>
    <t>112440652</t>
  </si>
  <si>
    <t>26959230</t>
  </si>
  <si>
    <t>9147152</t>
  </si>
  <si>
    <t>714496340592627712</t>
  </si>
  <si>
    <t>2770063475</t>
  </si>
  <si>
    <t>17548456</t>
  </si>
  <si>
    <t>115204568</t>
  </si>
  <si>
    <t>351556755</t>
  </si>
  <si>
    <t>25725698</t>
  </si>
  <si>
    <t>520466885</t>
  </si>
  <si>
    <t>1275195699626422273</t>
  </si>
  <si>
    <t>1475491833602101259</t>
  </si>
  <si>
    <t>345758163</t>
  </si>
  <si>
    <t>229989648</t>
  </si>
  <si>
    <t>863432463317684224</t>
  </si>
  <si>
    <t>65656355</t>
  </si>
  <si>
    <t>952646220</t>
  </si>
  <si>
    <t>825715426021761024</t>
  </si>
  <si>
    <t>18938121</t>
  </si>
  <si>
    <t>dad , stubborn fucker, football coach ,music geek,</t>
  </si>
  <si>
    <t>Journalist and freelance photographer covering Northamptonshire : also mother, wife, former TA. I love Wicksteed Park, Marmite &amp; Spidey. All views are MINE .</t>
  </si>
  <si>
    <t>| Journalist | @ntelegraph | Corby | Proud Prestonian | Feminist | kate.cronin@jpimedia.co.uk | My views | Unlikely to be aligned with my employer’s views |</t>
  </si>
  <si>
    <t>Opus Fluke is founder of The United States of Antarctica. We aim to Keep McMurdo Sound.
In The Land of The Bland the one idea man is King.
Confused? Excellent.</t>
  </si>
  <si>
    <t>TWEETING RANDOMLY GENERATED GIBBERISH WHICH MIGHT CHANGE YOUR LIFE* *TERMS AND CONDITIONS APPLY. ALL ALGORITHMS LOVINGLY NURTURED BY @ReactionsTo2023</t>
  </si>
  <si>
    <t>Easy &amp; light burden. Here to listen, learn &amp; ponder for understanding, grace &amp; mercy. Value wit &amp; wisdom. Hate=block RT not endorse. Open like a lake (SG)</t>
  </si>
  <si>
    <t>Poet/Author #MrsDeathMissesDeath shortlisted #britishbookawards &amp; #indiebookawards | @canongatebooks &amp; @OWNITLDN | https://t.co/XAJdC5muJp</t>
  </si>
  <si>
    <t>Ru Callender. Undertaker, writer. Pyramid builder. No, I am not okay with death, it scares me as much as it does you. But I am compelled to do this.</t>
  </si>
  <si>
    <t>An arts/nature/culture clash posting regularly on https://t.co/2lfS9UDghQ. We also have a record label called Rivertones.</t>
  </si>
  <si>
    <t>New account. Previously @MrPaulDuane. I don't wanna be a product of my environment, I want my environment to be a product of me. He/him.
https://t.co/b6K5gsNJSG</t>
  </si>
  <si>
    <t>Book publisher focused on the politics and practice of sustainable living. 100% Employee-owned.</t>
  </si>
  <si>
    <t>M.D. Chelsea Green Publishing UK. Ex-creative agency, Marketing Director (Faber). Marketing &amp; Publishing strategist. #COYG #COYQ _xD83C__xDCCF_#MDANT</t>
  </si>
  <si>
    <t>Photojournalist, poet, Nat Geo photographer, TED fellow, 2016 Harvard Nieman fellow. Debut poetry collection, One Language, published by Smith|Doorstop in 2022.</t>
  </si>
  <si>
    <t>Nature. Writer. Reader. Guardian Country Diarist. On Gallows Down, Richard Jefferies Award 2021. RSPB, Seasons, Red 67, Women On Nature. Agent anne@khla.com</t>
  </si>
  <si>
    <t>I write, draw, make zines and look at clouds _xD83D__xDC97__xD83C__xDF33__xD83D__xDDFF__xD83E__xDEB5__xD83E__xDEA8__xD83C__xDF0A__xD83D__xDD25__xD83C__xDF2A_️_xD83D__xDD77_️_xD83E__xDEB1_
I run @peakrillpress &amp; @deitygalaxy #Rheða #ttrpg
#BPII He/Him/Huum?
https://t.co/ScqgDpkkwt</t>
  </si>
  <si>
    <t>probably the most dangerous fool in the universe your mama warned you about me don't talk to weirdo's they might just hack your mind. I will</t>
  </si>
  <si>
    <t>HOST AND SELECTOR AT "LA VOIX DU LEZARD", THE MONTHLY POST PUNK / SYNTHWAVE / INDIE / NEW WAVE RADIO SHOW ON @TSUGIRADIO</t>
  </si>
  <si>
    <t>Spreading love for vinyl records!
#vinylrecords for RT's! 
record shops, fans , collectors, etc all welcome!</t>
  </si>
  <si>
    <t>The World's Festival of Creativity happening in June across the globe. For the motivated, curious, quirky and tenacious people who make awesome a reality.</t>
  </si>
  <si>
    <t>Not-for-profit community arts charity in the heart of Corby. #artiststudios #artexhibitions #artclasses  Open Wed-Sat 11am-4pm _xD83D__xDCDE_ 01536 267101</t>
  </si>
  <si>
    <t>PRIVATE LADIES AND GENTLEMENS CLUB for ART, LEISURE and 
THE DISRUPTIVE BETTERMENT OF CULTURE</t>
  </si>
  <si>
    <t>An interactive celebration of literature and the arts, of theatre, playshops and music inspired by the Discordian movement; a society...the notwork23 collective</t>
  </si>
  <si>
    <t>Fashion, culture, beauty and all other news.</t>
  </si>
  <si>
    <t>Chirpy chap, music fan, vegan, part of @GiddyPopPod and a @charityclassics DJ. 'We Peaked at Paper', an oral history of British zines is published Oct 22.</t>
  </si>
  <si>
    <t>Discontent Provider. Producer/presenter of OH GOD, WHAT NOW?, Bunker and Bigmouth podcasts. Inventor of landfill indie. Social media binfluencer.</t>
  </si>
  <si>
    <t>Paperback writer / journalist. Sport, popular culture, travel. Next book: Whatever Happened To The C86 Kids?
Agent: Mr Pocklington / kevin@thenorthlitagency.com</t>
  </si>
  <si>
    <t>Photographer.</t>
  </si>
  <si>
    <t>IT of various types, Sheep, ADHD, Wool, Politics, shortness, Orchids, menopause - just some of the things I may tweet about
Generally follow back :)</t>
  </si>
  <si>
    <t>Northern Irish writer and electronic musician. Based in Edinburgh, Scotland.</t>
  </si>
  <si>
    <t>#Podcast. Landscape sound postcards in 3D immersive sound. Best with earphones. Listen while reading, resting or being mindful. Launched 2020. #SlowRadio</t>
  </si>
  <si>
    <t>#GrimArt - the beauty &amp; value of the everyday, the ordinary &amp; the overlooked; industrial landscapes, whippets &amp; wastelands, red bricks &amp; rust. #art #photography</t>
  </si>
  <si>
    <t>Former child, Socialist, free thinking, music fan. Netizen of the revolution. NO LISTS I BLOCK #JoinAUnion #FreeJulianAssange #BDS You can't fix 'stupid'!</t>
  </si>
  <si>
    <t>Host of fookingreat’s ACIDHOUSE HAPPY HOUR live acid jam session. *Dr. Tanoshī is not a doctor of anything and this is not medical advice.</t>
  </si>
  <si>
    <t>Music, books, films, Celtic FC and dreams of an Independent Scotland make me happy. Cat person.
At weekends we'd go dancing down Streatham on the bus...</t>
  </si>
  <si>
    <t>tyke, punk, scribbler, snapper, reader, watcher
co-founder #knotandtriangle club
https://t.co/5taTJhnXrF…</t>
  </si>
  <si>
    <t>Velvets to the Voidoids &amp; beyond. Live music, post punk @cipr_global Fellow.</t>
  </si>
  <si>
    <t>Beancounter, official outlet of the @bettymayonnaise reviews on https://t.co/Oj6Dq8Ab94 The most petty and ill-informed twitterer in Scotchland</t>
  </si>
  <si>
    <t>Knowing what you know and knowing what you don't know is true knowledge.</t>
  </si>
  <si>
    <t>Coachella2023には行きたい</t>
  </si>
  <si>
    <t>ROM専。基本的につぶやきません。</t>
  </si>
  <si>
    <t>digital contemporary artist. the information in the computer‘s memory is not the picture;it symbolizes the picture. Litizen|ASH|doods|CryptoMutts|D#AVANTGARDE</t>
  </si>
  <si>
    <t>urged to explore this wasteland :
Artist / Director
Composer / Musician
Actress / Performer</t>
  </si>
  <si>
    <t>The future of the CryptoArt market—a network governed by artists, collectors and curators _xD83D__xDC8E_ Follow @SR_Gov 
#SuperRareGallery open in SoHo til August 28th _xD83D__xDC8E_</t>
  </si>
  <si>
    <t>The intersection of NFT artists, collectors, technology, and markets. https://t.co/pUmnJ8QQyj</t>
  </si>
  <si>
    <t>Pushing paint and crypto since 2017 _xD83C__xDDE8__xD83C__xDDE6__xD83C__xDFF4__xDB40__xDC67__xDB40__xDC62__xDB40__xDC73__xDB40__xDC63__xDB40__xDC74__xDB40__xDC7F_ #BitcoinAngel #CastleParty2022</t>
  </si>
  <si>
    <t>Threadoooor, investoooor, seedoooor</t>
  </si>
  <si>
    <t>Artist &amp; singing computer owner.</t>
  </si>
  <si>
    <t>Full-spectrum creative dilettante. Quite good at words. Nascent performer. Made a bit of music for videogames. p141 of 400.</t>
  </si>
  <si>
    <t>Accidental author of The WTF TRILOGY. P130/400. Moog Enhancer @REACTOR231 Lost Doctor Sonic Sculptor.Solid Gold Mirror Holder For Life. всі Йдуть До Mu Mu Land.</t>
  </si>
  <si>
    <t>Writer: 'Wiffle Lever To Full!' @forteantimes 'Haunted Generation', @electronicmaguk, 50% of @summerwinos, 33.3% of @oldmugginsband.</t>
  </si>
  <si>
    <t>I am a truthful man from the land of the chimneys. My tweets are like a wounded faun seeking refuge in the matrix. Inevitability consultant.</t>
  </si>
  <si>
    <t>Dilettante interested in art, mystery, books, health, Eris, @commonerschoir, the Culture etc. This one's personal...</t>
  </si>
  <si>
    <t>Sheffield Maker Emporium, Magical Supplies, Fair Trade products &amp; Vegetarian Cafe
https://t.co/DfiF5Vt3a7</t>
  </si>
  <si>
    <t>Economic migrant. Port of Spain via London, Paris, Kyiv, Kathmandu, Manila. #SlavaUkraini #hcafc</t>
  </si>
  <si>
    <t>Don’t try and flog me any bitcoins, I’ve got a shed full of them.</t>
  </si>
  <si>
    <t>Music Tour Management, Record Label, Music Rehearsal Space &amp; Recording Studio. Read on Telegram https://t.co/02FSEWTGyk If something happens, call me.</t>
  </si>
  <si>
    <t>AxA Movement | Demoscener | Man of Letters | Videos | Music | ⚔ | DIY | 'pilly from philly'
https://t.co/Udx0jQhSwy</t>
  </si>
  <si>
    <t>The world is a vampire (castle). He / ghoulian</t>
  </si>
  <si>
    <t>Comedian, writer, DJ, Presented Pimp My Ipod on RTE 2xm radio. 'Woody Allen with a Cork brogue' - Time Out New York</t>
  </si>
  <si>
    <t>Proud dad to Isla and Lily. Dirty rock ‘n’ roll. Up the Spurs. Park Lane STH. “We are all in the gutter, but some of us are looking at the stars” Oscar Wilde.</t>
  </si>
  <si>
    <t>Music / Record Collector &amp; Blade _xD83C__xDFA7_ _xD83C__xDFB6_ ⚔️ ⠀ ⠀ ⠀ ⠀ A-Z Music Collection Challenge _xD83D__xDC47__xD83C__xDFFB_</t>
  </si>
  <si>
    <t>man with the plan</t>
  </si>
  <si>
    <t>pop band from montreal. highly underrated since 2001.
https://t.co/HAh0EIPiNl
we are a #brokenrecord</t>
  </si>
  <si>
    <t>too much of one thing</t>
  </si>
  <si>
    <t>Host of @ComedyBangBang. co-host of R U Talkin’ R.E.M. RE: ME &amp; @threedomusa. Co-creator/Director of Between Two Ferns. Co-founded @earwolf.</t>
  </si>
  <si>
    <t>I have no idea where I am anymore.</t>
  </si>
  <si>
    <t>Memorial Device ANT , just thought i’d mention it . 
I was so much older then , i'm younger than that now.........</t>
  </si>
  <si>
    <t>Rocking the Pandemic 
You'll find me at Tim's Listening Parties or watching (skiing on) Eurosport. Go Veggie xx</t>
  </si>
  <si>
    <t>Live it like you love it</t>
  </si>
  <si>
    <t>i like to watch big wave surfing.</t>
  </si>
  <si>
    <t>| coin alchemist was not exposed to 3AC contagion in any way. out traded ur favorite firm. esketit</t>
  </si>
  <si>
    <t>Just another chubbicorn. Nothing to see here.</t>
  </si>
  <si>
    <t>None of this is my fault - I voted for the broadband communism guy. My tweets are 40% music, 40% LFC and 40% maths. #Binfluencer</t>
  </si>
  <si>
    <t>Co-Owner of The Weller Cellar. A den of no repute! South Yorkshire-New York-Gstaad-Tokyo-Marble Arch- Cork - Sheffield United _xD83D__xDD34_⚪️⚫️</t>
  </si>
  <si>
    <t>Lifetime Tigers + Kaline fan since I saw my first game at old Briggs-Tiger Stadium in 1954, watching the slender teen with the accurate rocket arm in Rightfield</t>
  </si>
  <si>
    <t>#Geburtstag #Charts #birthday #Jubiläum #Gedenktag #Celebrities #Promis #Tagesereignis #heute</t>
  </si>
  <si>
    <t>News and views from across Northamptonshire in print, online and on social media. For more breaking news and sport also follow @NTnewseditor and @NTSportsdesk</t>
  </si>
  <si>
    <t>out there !</t>
  </si>
  <si>
    <t>Kettering, Northamptonshire</t>
  </si>
  <si>
    <t>Corby, England</t>
  </si>
  <si>
    <t>Hackney, London</t>
  </si>
  <si>
    <t>The Bunker, Beneath Antarctica</t>
  </si>
  <si>
    <t>London, England</t>
  </si>
  <si>
    <t>Totnes</t>
  </si>
  <si>
    <t>Bankside</t>
  </si>
  <si>
    <t>Dublin 8, Ireland</t>
  </si>
  <si>
    <t>WRJ, Vermont &amp; London, UK</t>
  </si>
  <si>
    <t>London</t>
  </si>
  <si>
    <t>North Wessex Downs</t>
  </si>
  <si>
    <t>North of Nowhere</t>
  </si>
  <si>
    <t>inthenowLondonUk</t>
  </si>
  <si>
    <t>PARIS FRANCE</t>
  </si>
  <si>
    <t>working the press!</t>
  </si>
  <si>
    <t>Everywhere</t>
  </si>
  <si>
    <t>Corby, Northamptonshire, UK</t>
  </si>
  <si>
    <t>Clerkenwell, London</t>
  </si>
  <si>
    <t>Sheffield, England</t>
  </si>
  <si>
    <t>The hill country of Somerset</t>
  </si>
  <si>
    <t>The dark, true &amp; tender North</t>
  </si>
  <si>
    <t>London UK</t>
  </si>
  <si>
    <t>Detroit, MI</t>
  </si>
  <si>
    <t xml:space="preserve">Glasgow </t>
  </si>
  <si>
    <t>Glasgow, Scotland</t>
  </si>
  <si>
    <t>New York, USA</t>
  </si>
  <si>
    <t>日本 兵庫</t>
  </si>
  <si>
    <t>下総国</t>
  </si>
  <si>
    <t>Wien, Österreich</t>
  </si>
  <si>
    <t>Vienna, Austria</t>
  </si>
  <si>
    <t>Ethereum</t>
  </si>
  <si>
    <t>Metaverse</t>
  </si>
  <si>
    <t>Bristol, UK</t>
  </si>
  <si>
    <t>Uncanny Valley</t>
  </si>
  <si>
    <t>Apophenia Street, Apophenia.</t>
  </si>
  <si>
    <t>Teesside</t>
  </si>
  <si>
    <t>Concealed storeroom above mall</t>
  </si>
  <si>
    <t>Leeds</t>
  </si>
  <si>
    <t>London Road, Sheffield</t>
  </si>
  <si>
    <t>TBC</t>
  </si>
  <si>
    <t>Hull, England</t>
  </si>
  <si>
    <t>Birmingham, United Kingdom</t>
  </si>
  <si>
    <t>San Francisco, CA</t>
  </si>
  <si>
    <t>_xD83C__xDDF5__xD83C__xDDF1_</t>
  </si>
  <si>
    <t>Tottenham, London</t>
  </si>
  <si>
    <t xml:space="preserve">Earth </t>
  </si>
  <si>
    <t>friggin ottawa</t>
  </si>
  <si>
    <t>Montreal</t>
  </si>
  <si>
    <t>Canada</t>
  </si>
  <si>
    <t>New York, NY</t>
  </si>
  <si>
    <t>Glasgow(ish)</t>
  </si>
  <si>
    <t>_xD83C__xDFBF_</t>
  </si>
  <si>
    <t>Dublin City, Ireland</t>
  </si>
  <si>
    <t>b00bahub</t>
  </si>
  <si>
    <t>Sat down somehere</t>
  </si>
  <si>
    <t>Boston suburbs</t>
  </si>
  <si>
    <t>CH</t>
  </si>
  <si>
    <t>Northamptonshire</t>
  </si>
  <si>
    <t>Open Twitter Page for This Person</t>
  </si>
  <si>
    <t>nerans1
This interview with Bill Drummond,
who is exhibiting his latest work
in Corby, is quite something via
@AlisonBagley1 https://t.co/tLzCsS5Ho7</t>
  </si>
  <si>
    <t>alisonbagley1
This interview with Bill Drummond,
who is exhibiting his latest work
in Corby, is quite something via
@AlisonBagley1 https://t.co/tLzCsS5Ho7</t>
  </si>
  <si>
    <t>katie_cronin
@upsmagcom Maybe don’t steal other
people’s entire interviews and
pictures _xD83E__xDD37__xD83C__xDFFB_‍♀️ https://t.co/tLzCsS5Ho7</t>
  </si>
  <si>
    <t>rikkialexander
This interview with Bill Drummond,
who is exhibiting his latest work
in Corby, is quite something via
@AlisonBagley1 https://t.co/tLzCsS5Ho7</t>
  </si>
  <si>
    <t>opusfluke
Bill Drummond + Jimmy Cauty agree
to never speak, write or use any
other form of media to mention
the burning of one million pounds
of their own money which occurred
on the Island of Jura on 23 August
1994 for a period of 23 years after
the date of signature.</t>
  </si>
  <si>
    <t>mubot231
Bill Drummond + J Cauty agree to
allow Alan Goodrick use, for whatever
purpose, the film “Watch The K
Foundation Burn A Million Quid”
and all film rushes.</t>
  </si>
  <si>
    <t>cwezel1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</si>
  <si>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salenagodden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</si>
  <si>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wayswithweirds
Thrilled to be doing this with
@tweetbytheriver and the marvellous
Bill Drummond and the equally marvellous
@salenagodden https://t.co/VWEokns9hQ</t>
  </si>
  <si>
    <t>tweetbytheriver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</si>
  <si>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paulduanefilm
Thrilled to be doing this with
@tweetbytheriver and the marvellous
Bill Drummond and the equally marvellous
@salenagodden https://t.co/VWEokns9hQ</t>
  </si>
  <si>
    <t>chelseagreen
Incredibly excited for the launch
event for @wayswithweirds' new
book 'What Remains? Life, Death
and the Human Art of Undertaking'
on September 26th! Come and join
us at The Social alongside Bill
Drummond and @salenagodden. https://t.co/TS0HyhQQ3G</t>
  </si>
  <si>
    <t>zloom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</si>
  <si>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anastasiatl
Thrilled to be doing this with
@tweetbytheriver and the marvellous
Bill Drummond and the equally marvellous
@salenagodden https://t.co/VWEokns9hQ</t>
  </si>
  <si>
    <t>nicolawriting
Thrilled to be doing this with
@tweetbytheriver and the marvellous
Bill Drummond and the equally marvellous
@salenagodden https://t.co/VWEokns9hQ</t>
  </si>
  <si>
    <t>dansumption
Thrilled to be doing this with
@tweetbytheriver and the marvellous
Bill Drummond and the equally marvellous
@salenagodden https://t.co/VWEokns9hQ</t>
  </si>
  <si>
    <t>originalsyna
Thrilled to be doing this with
@tweetbytheriver and the marvellous
Bill Drummond and the equally marvellous
@salenagodden https://t.co/VWEokns9hQ</t>
  </si>
  <si>
    <t>jpt_paris
Julian Cope 'Bill Drummond Said'
('Fried' / Mercury Records, 1984)
https://t.co/Zn62uoxLe3 #JulianCope
#MercuryRecords #indiepop #alternativepop
#newwave #fried #pop #vinylrecords
https://t.co/toTiF9c2Vc</t>
  </si>
  <si>
    <t>vinyl_for_life
Julian Cope 'Bill Drummond Said'
('Fried' / Mercury Records, 1984)
https://t.co/Zn62uoxLe3 #JulianCope
#MercuryRecords #indiepop #alternativepop
#newwave #fried #pop #vinylrecords
https://t.co/toTiF9c2Vc</t>
  </si>
  <si>
    <t>canntfestival
Starting today at the @RooftopCorby
until 30th June. The 2022 edition
of 25 Paintings World Tour with
Bill Drummond and friends. In all
seriousness, with much hilarity
and #creativity #Corby #Arts #CANNT
#mu https://t.co/Ncij64chNl https://t.co/vA0tepFcOO</t>
  </si>
  <si>
    <t>rooftopcorby
Read all about it in our June newsletter
because its a busy month! With
Bill Drummond, an Open Call for
Artists, Sketchbook Show winners,
and news on the Big Move https://t.co/HePKeSALVS
#opencall #billdrummond #corby
#opencallforartists #callforartists
#openexhibition https://t.co/TF5Q2aSz5f</t>
  </si>
  <si>
    <t>l13liw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</si>
  <si>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festival23cod
Thrilled to be doing this with
@tweetbytheriver and the marvellous
Bill Drummond and the equally marvellous
@salenagodden https://t.co/VWEokns9hQ</t>
  </si>
  <si>
    <t>upsmagcom
Corby art and music maverick Bill
Drummond back with new exhibition
https://t.co/JwBU4zzm5b</t>
  </si>
  <si>
    <t>wholehogg
https://t.co/9X2rVAqOaN From those
calm days of 2008 - Word magazine
issue 65 - featuring a Bill Drummond
interview with @Nndroid</t>
  </si>
  <si>
    <t xml:space="preserve">nndroid
</t>
  </si>
  <si>
    <t>nigetassell
https://t.co/9X2rVAqOaN From those
calm days of 2008 - Word magazine
issue 65 - featuring a Bill Drummond
interview with @Nndroid</t>
  </si>
  <si>
    <t>thenarraback
@stephenclarke80 @LizaMccarron
@wayswithweirds You had me at Bill
Drummond.</t>
  </si>
  <si>
    <t xml:space="preserve">lizamccarron
</t>
  </si>
  <si>
    <t>stephenclarke80
@LizaMccarron @TheNarraback @wayswithweirds
If you feel you'll meet Bill, you
will. Yes, write! A good trick
is to write the penultimate paragraph
first, then bounce back to the
start of your tale. That way you'll
know where you've to aim for. &amp;amp;
"Start now. Tomorrow is always
too late." - Bill Drummond</t>
  </si>
  <si>
    <t>chiltonbell
Announcing a launch event for @wayswithweirds’s
'What Remains?' — a book detailing
the life and work of the world’s
first punk undertaker. Ft: Rupert
Callender reading + conversation
with Bill Drummond Special guest
@salenagodden CBTR DJs More info:
https://t.co/vzoVMJjalx https://t.co/nzmA2PUaHh</t>
  </si>
  <si>
    <t>radiolento
@GrimArtGroup Really enjoying catching
up with #WordArtWeeked. Here's
one from episode 72 &amp;gt; https://t.co/KINecUmPKa
Never Lock Your Door is by Bill
Drummond. https://t.co/6RBsnY1bfA</t>
  </si>
  <si>
    <t xml:space="preserve">grimartgroup
</t>
  </si>
  <si>
    <t>realdavidcarter
Bill Drummond – The 25 Paintings
11th – 30th June https://t.co/GxjQ9nS9Bc
https://t.co/1xrw6sc6RJ</t>
  </si>
  <si>
    <t>dritsumotanoshi
IMAGINE WAKING TOMORROW &amp;amp; ALL
MUSIC HAS DISAPPEARED Graffiti
done by Bill Drummond at 4am on
the 7th of July 2010, on the Barford
Bridge near Corby. Photograph taken
by Tracey Moberly. #music #Graffiti
#BillDrummond #tomorrow https://t.co/UZzA65QA3I</t>
  </si>
  <si>
    <t>michaeldaly64
@CollettWriter A musician at our
table had no idea who he was. "THAT
was Bill Drummond? I thought he
was a Radio Clyde DJ or something"_xD83D__xDE02_</t>
  </si>
  <si>
    <t xml:space="preserve">collettwriter
</t>
  </si>
  <si>
    <t>caroline_binnie
@CollettWriter @abrown667 Bill
Drummond just keeps getting stranger
too!</t>
  </si>
  <si>
    <t xml:space="preserve">abrown667
</t>
  </si>
  <si>
    <t>tom40591965
Ethereum whale's uniswap token
briefly hit $100K — but there’s
a catch . Boa, a new Uniswap token
created by the well-known pseudonymous
Ether whale Bill Drummond, briefly
hit $100,000.</t>
  </si>
  <si>
    <t>40000037sm
名盤ジャケの元ネタ The KLF / Chill Out Bill
Drummondは、カバーをPink Floyd「Atom Heart
Mother」からの影響を公言。当時のイギリスレイヴシーンの雰囲気を持つアートのイメージは、田舎でOrbitalが巨大レイヴをやり、一晩中踊り、朝になると日が昇ってきて、田舎に囲まれている感じを表現した。
https://t.co/CL1CoLO0eb</t>
  </si>
  <si>
    <t>perovskite_
名盤ジャケの元ネタ The KLF / Chill Out Bill
Drummondは、カバーをPink Floyd「Atom Heart
Mother」からの影響を公言。当時のイギリスレイヴシーンの雰囲気を持つアートのイメージは、田舎でOrbitalが巨大レイヴをやり、一晩中踊り、朝になると日が昇ってきて、田舎に囲まれている感じを表現した。
https://t.co/CL1CoLO0eb</t>
  </si>
  <si>
    <t>myselle404
@trevorjonesart @NFTCulture @SuperRare
Silent opera. For the „no music
day“ Bill Drummond, a british conceptual
artist installed. The pictures
are screenshots of a video that
is based on the opera „dione“ by
the artist @ScharmienZandi https://t.co/EISz3Wt6Me</t>
  </si>
  <si>
    <t xml:space="preserve">scharmienzandi
</t>
  </si>
  <si>
    <t xml:space="preserve">superrare
</t>
  </si>
  <si>
    <t xml:space="preserve">nftculture
</t>
  </si>
  <si>
    <t xml:space="preserve">trevorjonesart
</t>
  </si>
  <si>
    <t>billybobbaghold
Now, more than ever, we need Bill
Drummond. gn</t>
  </si>
  <si>
    <t>mr_hopkinson
@Bob_Fischer Bill Drummond, and
his Tenzing Scott Brown alter ego,
are on it . . . https://t.co/3jSlsIe0T7
https://t.co/VQUn82YnC9</t>
  </si>
  <si>
    <t xml:space="preserve">jimmccauley
</t>
  </si>
  <si>
    <t>reactionsto2023
https://t.co/bKFo6sVXV7</t>
  </si>
  <si>
    <t xml:space="preserve">bob_fischer
</t>
  </si>
  <si>
    <t>dawsepaws
Bill Drummond has set up a tea
room and his mailshots about it
are a joy. That is all. Oh, and
congratulations to the #TeaRoomWedding
couple. X</t>
  </si>
  <si>
    <t>janeclifford23
Can't wait. Bill Drummond, 25 seemingly
sentient paintings, tea n scones,
desolate brutalist gallery, pied
wagtails and a lift from @AiryFairyNews
. Road trip...... https://t.co/phGQR5FdN3</t>
  </si>
  <si>
    <t xml:space="preserve">airyfairynews
</t>
  </si>
  <si>
    <t>peterradiator
@tonytiger67 They were a Bill Drummond
side project. Decent.</t>
  </si>
  <si>
    <t xml:space="preserve">tonytiger67
</t>
  </si>
  <si>
    <t>ironmanrecords
Corby art and music maverick Bill
Drummond back with new exhibition
https://t.co/twAV5xvKtX #KLF https://t.co/9hKPcGrnX4</t>
  </si>
  <si>
    <t>realpilleater
The KLF—sounds like a terrorist
group. Bill Drummond played up
to this gleefully, most infamously
during the 1992 Brit Awards, when
he fired blanks into the audience.
https://t.co/YHdwo8Ikpa</t>
  </si>
  <si>
    <t>heghoulian
The KLF—sounds like a terrorist
group. Bill Drummond played up
to this gleefully, most infamously
during the 1992 Brit Awards, when
he fired blanks into the audience.
https://t.co/YHdwo8Ikpa</t>
  </si>
  <si>
    <t>michaelmee_too
@kev__1987 @Stu_ART_P Bill Drummond?</t>
  </si>
  <si>
    <t xml:space="preserve">stu_art_p
</t>
  </si>
  <si>
    <t xml:space="preserve">kev__1987
</t>
  </si>
  <si>
    <t>mennoknight
@myrealnameisdj @ScottAukerman
@torquilcampbell @youarestars also
highly recommend the book Turn
Up the Strobe by Ian Shirley. Bill
Drummond and Jimmy Cauty are my
heroes. can't wait to be mumufied
and be placed in their pyramid.</t>
  </si>
  <si>
    <t xml:space="preserve">youarestars
</t>
  </si>
  <si>
    <t xml:space="preserve">torquilcampbell
</t>
  </si>
  <si>
    <t xml:space="preserve">scottaukerman
</t>
  </si>
  <si>
    <t xml:space="preserve">myrealnameisdj
</t>
  </si>
  <si>
    <t>disgracelands9
@kev__1987 Bill Drummond . The
Timelords and KLF .</t>
  </si>
  <si>
    <t>peanutpower4
@brian_mccaul Get yourself up the
road to Derry/Londonderry and speak
to Ben at Abbazappa in the Yellow
yard. Clear a whole day for some
serious crate digging and checking
out speakers/amps and general chit
chat with Ben. He has good Bill
Drummond stories...</t>
  </si>
  <si>
    <t xml:space="preserve">brian_mccaul
</t>
  </si>
  <si>
    <t>cartrell_payne
The KLF—sounds like a terrorist
group. Bill Drummond played up
to this gleefully, most infamously
during the 1992 Brit Awards, when
he fired blanks into the audience.
https://t.co/YHdwo8Ikpa</t>
  </si>
  <si>
    <t>vec0zy
@Chubbicorn219 bitcoin bill drummond</t>
  </si>
  <si>
    <t xml:space="preserve">chubbicorn219
</t>
  </si>
  <si>
    <t>thevinylslap
@kev__1987 @Stu_ART_P @JemMilner
But Bill Drummond had number 1
hits with the KLF (3am Eternal)
and The Timelords (Doctorin’ the
Tardis)?</t>
  </si>
  <si>
    <t xml:space="preserve">jemmilner
</t>
  </si>
  <si>
    <t>kalinecountry
June 19, Happy Birthday Bill Drummond.
https://t.co/6w6wkVdzZ5 w/SonnyRollins.
https://t.co/QzPPYEm0RE https://t.co/Ovka4Ii5Xk</t>
  </si>
  <si>
    <t>paperyou
June 19, Happy Birthday Bill Drummond.
https://t.co/6w6wkVdzZ5 w/SonnyRollins.
https://t.co/QzPPYEm0RE https://t.co/Ovka4Ii5Xk</t>
  </si>
  <si>
    <t>chombotofficial
Malcolm continues to the strokes
bill drummond Finally, her again.</t>
  </si>
  <si>
    <t>ntelegraph
Corby art and music maverick Bill
Drummond back with new exhibition
https://t.co/bQV9LVM89k</t>
  </si>
  <si>
    <t>Directed</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</si>
  <si>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</si>
  <si>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</si>
  <si>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</si>
  <si>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</si>
  <si>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</si>
  <si>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</si>
  <si>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</si>
  <si>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</si>
  <si>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</si>
  <si>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</si>
  <si>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</si>
  <si>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</si>
  <si>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</si>
  <si>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</si>
  <si>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</si>
  <si>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</si>
  <si>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</si>
  <si>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</si>
  <si>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</si>
  <si>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</si>
  <si>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</si>
  <si>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</si>
  <si>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</si>
  <si>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</si>
  <si>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</si>
  <si>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</si>
  <si>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</si>
  <si>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</si>
  <si>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</si>
  <si>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</si>
  <si>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</si>
  <si>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</si>
  <si>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</si>
  <si>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</si>
  <si>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</si>
  <si>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</si>
  <si>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</si>
  <si>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</si>
  <si>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https://www.northantstelegraph.co.uk/news/people/corby-art-and-music-maverick-bill-drummond-back-with-new-exhibition-3726882</t>
  </si>
  <si>
    <t>https://twitter.com/tweetbytheriver/status/1535321437795500032</t>
  </si>
  <si>
    <t>https://www.caughtbytheriver.net/2022/06/what-remains-rupert-callender-launch-event/</t>
  </si>
  <si>
    <t>https://www.youtube.com/watch?v=4-g89Hqo-og</t>
  </si>
  <si>
    <t>https://www.youtube.com/watch?v=am1s9kmtn5U</t>
  </si>
  <si>
    <t>https://www.rooftopartscentre.co.uk/whats-on/</t>
  </si>
  <si>
    <t>https://wholehoggblog.wordpress.com/2022/06/12/word-65/</t>
  </si>
  <si>
    <t>https://www.youtube.com/watch?v=HcbM77qCu3o</t>
  </si>
  <si>
    <t>https://www.youtube.com/watch?v=jEL8k95nNaE</t>
  </si>
  <si>
    <t>https://twitter.com/NTelegraph/status/1535193040129871872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</si>
  <si>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</si>
  <si>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</si>
  <si>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</si>
  <si>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</si>
  <si>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</si>
  <si>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</si>
  <si>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</si>
  <si>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</si>
  <si>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</si>
  <si>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</si>
  <si>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</si>
  <si>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</si>
  <si>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https://www.upsmag.com/corby-art-and-music-maverick-bill-drummond-back-with-new-exhibition/</t>
  </si>
  <si>
    <t>Top URLs in Tweet in G7</t>
  </si>
  <si>
    <t>G6 Count</t>
  </si>
  <si>
    <t>https://www.penkilnburn.com/antimacassar-to-kurdistan/</t>
  </si>
  <si>
    <t>https://www.alimentation.cc/product/antimacassar/</t>
  </si>
  <si>
    <t>Top URLs in Tweet in G8</t>
  </si>
  <si>
    <t>G7 Count</t>
  </si>
  <si>
    <t>Top URLs in Tweet in G9</t>
  </si>
  <si>
    <t>G8 Count</t>
  </si>
  <si>
    <t>Top URLs in Tweet in G10</t>
  </si>
  <si>
    <t>G9 Count</t>
  </si>
  <si>
    <t>G10 Count</t>
  </si>
  <si>
    <t>Top URLs in Tweet</t>
  </si>
  <si>
    <t>https://twitter.com/tweetbytheriver/status/1535321437795500032 https://www.caughtbytheriver.net/2022/06/what-remains-rupert-callender-launch-event/</t>
  </si>
  <si>
    <t>https://www.northantstelegraph.co.uk/news/people/corby-art-and-music-maverick-bill-drummond-back-with-new-exhibition-3726882 https://www.rooftopartscentre.co.uk/whats-on/</t>
  </si>
  <si>
    <t>https://www.northantstelegraph.co.uk/news/people/corby-art-and-music-maverick-bill-drummond-back-with-new-exhibition-3726882 https://www.upsmag.com/corby-art-and-music-maverick-bill-drummond-back-with-new-exhibition/</t>
  </si>
  <si>
    <t>https://www.penkilnburn.com/antimacassar-to-kurdistan/ https://www.alimentation.cc/product/antimacassar/ https://www.northantstelegraph.co.uk/news/people/corby-art-and-music-maverick-bill-drummond-back-with-new-exhibition-3726882</t>
  </si>
  <si>
    <t>https://radiolento.podbean.com/e/the-canal-and-the-window-under-the-m6-at-spaghetti-junction/</t>
  </si>
  <si>
    <t>https://mailchi.mp/4b5bf37023e6/june-newsletter-20267077 https://www.rooftopartscentre.co.uk/whats-on/</t>
  </si>
  <si>
    <t>Top Domains in Tweet in Entire Graph</t>
  </si>
  <si>
    <t>penkilnburn.com</t>
  </si>
  <si>
    <t>alimentation.cc</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</si>
  <si>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</si>
  <si>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</si>
  <si>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</si>
  <si>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</si>
  <si>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</si>
  <si>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</si>
  <si>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</si>
  <si>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</si>
  <si>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</si>
  <si>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</si>
  <si>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</si>
  <si>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caughtbytheriver.net</t>
  </si>
  <si>
    <t>co.uk upsmag.com</t>
  </si>
  <si>
    <t>penkilnburn.com alimentation.cc co.uk</t>
  </si>
  <si>
    <t>mailchi.mp co.uk</t>
  </si>
  <si>
    <t>Top Hashtags in Tweet in Entire Graph</t>
  </si>
  <si>
    <t>billdrummond</t>
  </si>
  <si>
    <t>corby</t>
  </si>
  <si>
    <t>juliancope</t>
  </si>
  <si>
    <t>mercuryrecords</t>
  </si>
  <si>
    <t>music</t>
  </si>
  <si>
    <t>graffiti</t>
  </si>
  <si>
    <t>tomorrow</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</si>
  <si>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</si>
  <si>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</si>
  <si>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</si>
  <si>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</si>
  <si>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</si>
  <si>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</si>
  <si>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</si>
  <si>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</si>
  <si>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</si>
  <si>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</si>
  <si>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</si>
  <si>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music graffiti billdrummond tomorrow tearoomwedding klf</t>
  </si>
  <si>
    <t>corby opencall billdrummond opencallforartists callforartists openexhibition creativity arts cannt mu</t>
  </si>
  <si>
    <t>Top Words in Tweet in Entire Graph</t>
  </si>
  <si>
    <t>bill</t>
  </si>
  <si>
    <t>drummond</t>
  </si>
  <si>
    <t>pie</t>
  </si>
  <si>
    <t>fall</t>
  </si>
  <si>
    <t>straws</t>
  </si>
  <si>
    <t>crabbies</t>
  </si>
  <si>
    <t>mark</t>
  </si>
  <si>
    <t>e</t>
  </si>
  <si>
    <t>smith</t>
  </si>
  <si>
    <t>Top Words in Tweet in G1</t>
  </si>
  <si>
    <t>s</t>
  </si>
  <si>
    <t>marvellous</t>
  </si>
  <si>
    <t>book</t>
  </si>
  <si>
    <t>first</t>
  </si>
  <si>
    <t>launch</t>
  </si>
  <si>
    <t>event</t>
  </si>
  <si>
    <t>Top Words in Tweet in G2</t>
  </si>
  <si>
    <t>Top Words in Tweet in G3</t>
  </si>
  <si>
    <t>timelords</t>
  </si>
  <si>
    <t>Top Words in Tweet in G4</t>
  </si>
  <si>
    <t>Top Words in Tweet in G5</t>
  </si>
  <si>
    <t>opera</t>
  </si>
  <si>
    <t>artist</t>
  </si>
  <si>
    <t>Top Words in Tweet in G6</t>
  </si>
  <si>
    <t>interview</t>
  </si>
  <si>
    <t>exhibiting</t>
  </si>
  <si>
    <t>latest</t>
  </si>
  <si>
    <t>work</t>
  </si>
  <si>
    <t>quite</t>
  </si>
  <si>
    <t>something</t>
  </si>
  <si>
    <t>Top Words in Tweet in G7</t>
  </si>
  <si>
    <t>Top Words in Tweet in G8</t>
  </si>
  <si>
    <t>going</t>
  </si>
  <si>
    <t>Top Words in Tweet in G9</t>
  </si>
  <si>
    <t>sounds</t>
  </si>
  <si>
    <t>terrorist</t>
  </si>
  <si>
    <t>group</t>
  </si>
  <si>
    <t>played</t>
  </si>
  <si>
    <t>up</t>
  </si>
  <si>
    <t>gleefully</t>
  </si>
  <si>
    <t>infamously</t>
  </si>
  <si>
    <t>Top Words in Tweet in G10</t>
  </si>
  <si>
    <t>those</t>
  </si>
  <si>
    <t>calm</t>
  </si>
  <si>
    <t>days</t>
  </si>
  <si>
    <t>2008</t>
  </si>
  <si>
    <t>word</t>
  </si>
  <si>
    <t>magazine</t>
  </si>
  <si>
    <t>issue</t>
  </si>
  <si>
    <t>65</t>
  </si>
  <si>
    <t>featuring</t>
  </si>
  <si>
    <t>Top Words in Tweet</t>
  </si>
  <si>
    <t>bill drummond salenagodden s marvellous wayswithweirds book first launch event</t>
  </si>
  <si>
    <t>bill drummond pie fall straws crabbies klf mark e smith</t>
  </si>
  <si>
    <t>kev__1987 bill drummond stu_art_p klf timelords jemmilner</t>
  </si>
  <si>
    <t>opera artist</t>
  </si>
  <si>
    <t>bill drummond corby interview exhibiting latest work quite something alisonbagley1</t>
  </si>
  <si>
    <t>bill drummond</t>
  </si>
  <si>
    <t>collettwriter bill drummond s going</t>
  </si>
  <si>
    <t>klf sounds terrorist group bill drummond played up gleefully infamously</t>
  </si>
  <si>
    <t>those calm days 2008 word magazine issue 65 featuring bill</t>
  </si>
  <si>
    <t>june 19 happy birthday bill drummond w sonnyrollins</t>
  </si>
  <si>
    <t>ben</t>
  </si>
  <si>
    <t>名盤ジャケの元ネタ klf chill out bill drummondは カバーをpink floyd atom heart</t>
  </si>
  <si>
    <t>june bill drummond #corby</t>
  </si>
  <si>
    <t>julian cope 'bill drummond said' 'fried' mercury records 1984 #juliancope</t>
  </si>
  <si>
    <t>23 bill drummond cauty agree use million film jimmy never</t>
  </si>
  <si>
    <t>Top Word Pairs in Tweet in Entire Graph</t>
  </si>
  <si>
    <t>bill,drummond</t>
  </si>
  <si>
    <t>mark,e</t>
  </si>
  <si>
    <t>e,smith</t>
  </si>
  <si>
    <t>shepherds,pie</t>
  </si>
  <si>
    <t>cottage,pie</t>
  </si>
  <si>
    <t>gill,sans</t>
  </si>
  <si>
    <t>graphic,design</t>
  </si>
  <si>
    <t>drummond,shepherds</t>
  </si>
  <si>
    <t>drummond,crabbies</t>
  </si>
  <si>
    <t>fall,bill</t>
  </si>
  <si>
    <t>Top Word Pairs in Tweet in G1</t>
  </si>
  <si>
    <t>launch,event</t>
  </si>
  <si>
    <t>'what,remains</t>
  </si>
  <si>
    <t>announcing,launch</t>
  </si>
  <si>
    <t>event,wayswithweirds</t>
  </si>
  <si>
    <t>wayswithweirds,s</t>
  </si>
  <si>
    <t>s,'what</t>
  </si>
  <si>
    <t>remains,'</t>
  </si>
  <si>
    <t>',book</t>
  </si>
  <si>
    <t>book,detailing</t>
  </si>
  <si>
    <t>Top Word Pairs in Tweet in G2</t>
  </si>
  <si>
    <t>Top Word Pairs in Tweet in G3</t>
  </si>
  <si>
    <t>kev__1987,stu_art_p</t>
  </si>
  <si>
    <t>Top Word Pairs in Tweet in G4</t>
  </si>
  <si>
    <t>Top Word Pairs in Tweet in G5</t>
  </si>
  <si>
    <t>Top Word Pairs in Tweet in G6</t>
  </si>
  <si>
    <t>interview,bill</t>
  </si>
  <si>
    <t>drummond,exhibiting</t>
  </si>
  <si>
    <t>exhibiting,latest</t>
  </si>
  <si>
    <t>latest,work</t>
  </si>
  <si>
    <t>work,corby</t>
  </si>
  <si>
    <t>corby,quite</t>
  </si>
  <si>
    <t>quite,something</t>
  </si>
  <si>
    <t>something,alisonbagley1</t>
  </si>
  <si>
    <t>Top Word Pairs in Tweet in G7</t>
  </si>
  <si>
    <t>Top Word Pairs in Tweet in G8</t>
  </si>
  <si>
    <t>s,bill</t>
  </si>
  <si>
    <t>Top Word Pairs in Tweet in G9</t>
  </si>
  <si>
    <t>klf,sounds</t>
  </si>
  <si>
    <t>sounds,terrorist</t>
  </si>
  <si>
    <t>terrorist,group</t>
  </si>
  <si>
    <t>group,bill</t>
  </si>
  <si>
    <t>drummond,played</t>
  </si>
  <si>
    <t>played,up</t>
  </si>
  <si>
    <t>up,gleefully</t>
  </si>
  <si>
    <t>gleefully,infamously</t>
  </si>
  <si>
    <t>infamously,during</t>
  </si>
  <si>
    <t>Top Word Pairs in Tweet in G10</t>
  </si>
  <si>
    <t>those,calm</t>
  </si>
  <si>
    <t>calm,days</t>
  </si>
  <si>
    <t>days,2008</t>
  </si>
  <si>
    <t>2008,word</t>
  </si>
  <si>
    <t>word,magazine</t>
  </si>
  <si>
    <t>magazine,issue</t>
  </si>
  <si>
    <t>issue,65</t>
  </si>
  <si>
    <t>65,featuring</t>
  </si>
  <si>
    <t>featuring,bill</t>
  </si>
  <si>
    <t>Top Word Pairs in Tweet</t>
  </si>
  <si>
    <t>bill,drummond  launch,event  'what,remains  announcing,launch  event,wayswithweirds  wayswithweirds,s  s,'what  remains,'  ',book  book,detailing</t>
  </si>
  <si>
    <t>bill,drummond  mark,e  e,smith  shepherds,pie  cottage,pie  gill,sans  graphic,design  drummond,shepherds  drummond,crabbies  fall,bill</t>
  </si>
  <si>
    <t>bill,drummond  kev__1987,stu_art_p</t>
  </si>
  <si>
    <t>bill,drummond  interview,bill  drummond,exhibiting  exhibiting,latest  latest,work  work,corby  corby,quite  quite,something  something,alisonbagley1</t>
  </si>
  <si>
    <t>bill,drummond  s,bill</t>
  </si>
  <si>
    <t>klf,sounds  sounds,terrorist  terrorist,group  group,bill  bill,drummond  drummond,played  played,up  up,gleefully  gleefully,infamously  infamously,during</t>
  </si>
  <si>
    <t>those,calm  calm,days  days,2008  2008,word  word,magazine  magazine,issue  issue,65  65,featuring  featuring,bill  bill,drummond</t>
  </si>
  <si>
    <t>june,19  19,happy  happy,birthday  birthday,bill  bill,drummond  drummond,w  w,sonnyrollins</t>
  </si>
  <si>
    <t>名盤ジャケの元ネタ,klf  klf,chill  chill,out  out,bill  bill,drummondは  drummondは,カバーをpink  カバーをpink,floyd  floyd,atom  atom,heart  heart,mother</t>
  </si>
  <si>
    <t>julian,cope  cope,'bill  'bill,drummond  drummond,said'  said','fried'  'fried',mercury  mercury,records  records,1984  1984,#juliancope  #juliancope,#mercuryrecords</t>
  </si>
  <si>
    <t>bill,drummond  cauty,agree  drummond,jimmy  jimmy,cauty  agree,never  never,speak  speak,write  write,use  use,form  form,media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</si>
  <si>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</si>
  <si>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</si>
  <si>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</si>
  <si>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</si>
  <si>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</si>
  <si>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</si>
  <si>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</si>
  <si>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</si>
  <si>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</si>
  <si>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</si>
  <si>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</si>
  <si>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</si>
  <si>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</si>
  <si>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</si>
  <si>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</si>
  <si>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</si>
  <si>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</si>
  <si>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</si>
  <si>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</si>
  <si>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</si>
  <si>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</si>
  <si>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</si>
  <si>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</si>
  <si>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lizamccarron stephenclarke80</t>
  </si>
  <si>
    <t>kev__1987 stu_art_p</t>
  </si>
  <si>
    <t>bob_fischer reactionsto2023</t>
  </si>
  <si>
    <t>Top Mentioned in Tweet</t>
  </si>
  <si>
    <t>salenagodden wayswithweirds tweetbytheriver thenarraback lizamccarron</t>
  </si>
  <si>
    <t>stu_art_p jemmilner kev__1987</t>
  </si>
  <si>
    <t>scottaukerman torquilcampbell youarestars</t>
  </si>
  <si>
    <t>nftculture superrare scharmienzandi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</si>
  <si>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</si>
  <si>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</si>
  <si>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</si>
  <si>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</si>
  <si>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</si>
  <si>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</si>
  <si>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</si>
  <si>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</si>
  <si>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</si>
  <si>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</si>
  <si>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</si>
  <si>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</si>
  <si>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dansumption salenagodden paulduanefilm nicolawriting chelseagreen thenarraback wayswithweirds tweetbytheriver cwezel1 anastasiatl</t>
  </si>
  <si>
    <t>chombotofficial realdavidcarter ironmanrecords dawsepaws ntelegraph billybobbaghold tom40591965 dritsumotanoshi</t>
  </si>
  <si>
    <t>kev__1987 thevinylslap disgracelands9 stu_art_p michaelmee_too jemmilner</t>
  </si>
  <si>
    <t>torquilcampbell myrealnameisdj youarestars scottaukerman mennoknight</t>
  </si>
  <si>
    <t>trevorjonesart superrare nftculture myselle404 scharmienzandi</t>
  </si>
  <si>
    <t>nerans1 katie_cronin alisonbagley1 rikkialexander upsmagcom</t>
  </si>
  <si>
    <t>jimmccauley bob_fischer mr_hopkinson reactionsto2023</t>
  </si>
  <si>
    <t>caroline_binnie michaeldaly64 collettwriter abrown667</t>
  </si>
  <si>
    <t>heghoulian realpilleater cartrell_payne</t>
  </si>
  <si>
    <t>nigetassell wholehogg nndroid</t>
  </si>
  <si>
    <t>kalinecountry paperyou</t>
  </si>
  <si>
    <t>vec0zy chubbicorn219</t>
  </si>
  <si>
    <t>brian_mccaul peanutpower4</t>
  </si>
  <si>
    <t>tonytiger67 peterradiator</t>
  </si>
  <si>
    <t>janeclifford23 airyfairynews</t>
  </si>
  <si>
    <t>perovskite_ 40000037sm</t>
  </si>
  <si>
    <t>grimartgroup radiolento</t>
  </si>
  <si>
    <t>canntfestival rooftopcorby</t>
  </si>
  <si>
    <t>vinyl_for_life jpt_paris</t>
  </si>
  <si>
    <t>opusfluke mubot231</t>
  </si>
  <si>
    <t>Top URLs in Tweet by Count</t>
  </si>
  <si>
    <t>https://mailchi.mp/4b5bf37023e6/june-newsletter-20267077</t>
  </si>
  <si>
    <t>Top URLs in Tweet by Salience</t>
  </si>
  <si>
    <t>Top Domains in Tweet by Count</t>
  </si>
  <si>
    <t>Top Domains in Tweet by Salience</t>
  </si>
  <si>
    <t>Top Hashtags in Tweet by Count</t>
  </si>
  <si>
    <t>Top Hashtags in Tweet by Salience</t>
  </si>
  <si>
    <t>Top Words in Tweet by Count</t>
  </si>
  <si>
    <t>corby art music maverick bill drummond back new exhibition</t>
  </si>
  <si>
    <t>interview bill drummond exhibiting latest work corby quite something via</t>
  </si>
  <si>
    <t>upsmagcom maybe don t steal people s entire interviews pictures</t>
  </si>
  <si>
    <t>23 bill drummond jimmy cauty agree never speak write use</t>
  </si>
  <si>
    <t>bill drummond cauty agree use film million 23 j allow</t>
  </si>
  <si>
    <t>s announcing launch event wayswithweirds 'what remains ' book detailing</t>
  </si>
  <si>
    <t>marvellous thrilled doing tweetbytheriver bill drummond equally salenagodden</t>
  </si>
  <si>
    <t>incredibly excited launch event wayswithweirds' new book 'what remains life</t>
  </si>
  <si>
    <t>starting today rooftopcorby until 30th june 2022 edition 25 paintings</t>
  </si>
  <si>
    <t>read june newsletter busy month bill drummond open call artists</t>
  </si>
  <si>
    <t>bill stephenclarke80 lizamccarron wayswithweirds drummond drummond's soup lines klf nuts</t>
  </si>
  <si>
    <t>bill lizamccarron thenarraback wayswithweirds write first start drummond book feel</t>
  </si>
  <si>
    <t>grimartgroup really enjoying catching up #wordartweeked here's one episode 72</t>
  </si>
  <si>
    <t>bill drummond 25 paintings 11th 30th june</t>
  </si>
  <si>
    <t>imagine waking tomorrow music disappeared graffiti done bill drummond 4am</t>
  </si>
  <si>
    <t>collettwriter bill drummond musician table idea thought radio clyde dj</t>
  </si>
  <si>
    <t>collettwriter bill drummond s abrown667 keeps getting stranger ah going</t>
  </si>
  <si>
    <t>uniswap token briefly hit ethereum whale's 100k s catch boa</t>
  </si>
  <si>
    <t>opera artist trevorjonesart nftculture superrare silent music day bill drummond</t>
  </si>
  <si>
    <t>now more need bill drummond gn</t>
  </si>
  <si>
    <t>bill drummond bob_fischer tenzing scott brown alter ego reactionsto2023 jimmccauley</t>
  </si>
  <si>
    <t>bill drummond set up tea room mailshots joy oh congratulations</t>
  </si>
  <si>
    <t>wait bill drummond 25 seemingly sentient paintings tea n scones</t>
  </si>
  <si>
    <t>tonytiger67 bill drummond side project decent</t>
  </si>
  <si>
    <t>corby art music maverick bill drummond back new exhibition #klf</t>
  </si>
  <si>
    <t>kev__1987 stu_art_p bill drummond</t>
  </si>
  <si>
    <t>myrealnameisdj scottaukerman torquilcampbell youarestars highly recommend book turn up strobe</t>
  </si>
  <si>
    <t>kev__1987 bill drummond timelords klf</t>
  </si>
  <si>
    <t>ben brian_mccaul yourself up road derry londonderry speak abbazappa yellow</t>
  </si>
  <si>
    <t>chubbicorn219 bitcoin bill drummond</t>
  </si>
  <si>
    <t>kev__1987 stu_art_p jemmilner bill drummond klf timelords number 1 hits</t>
  </si>
  <si>
    <t>bill drummond pie fall straws crabbies mark klf e smith</t>
  </si>
  <si>
    <t>Top Words in Tweet by Salience</t>
  </si>
  <si>
    <t>film 23 j allow alan goodrick whatever purpose watch k</t>
  </si>
  <si>
    <t>stephenclarke80 lizamccarron wayswithweirds drummond drummond's soup lines klf nuts learning</t>
  </si>
  <si>
    <t>write start book feel meet yes good trick penultimate paragraph</t>
  </si>
  <si>
    <t>musician table idea thought radio clyde dj something once lunch</t>
  </si>
  <si>
    <t>abrown667 keeps getting stranger ah going round world baking cakes</t>
  </si>
  <si>
    <t>bob_fischer tenzing scott brown alter ego reactionsto2023 jimmccauley holly johnson</t>
  </si>
  <si>
    <t>number 1 hits 3am eternal doctorin tardis wait whatever kev__1987</t>
  </si>
  <si>
    <t>fall straws pie crabbies duncan mark klf buckfast e smith</t>
  </si>
  <si>
    <t>Top Word Pairs in Tweet by Count</t>
  </si>
  <si>
    <t>corby,art  art,music  music,maverick  maverick,bill  bill,drummond  drummond,back  back,new  new,exhibition</t>
  </si>
  <si>
    <t>interview,bill  bill,drummond  drummond,exhibiting  exhibiting,latest  latest,work  work,corby  corby,quite  quite,something  something,via  via,alisonbagley1</t>
  </si>
  <si>
    <t>upsmagcom,maybe  maybe,don  don,t  t,steal  steal,people  people,s  s,entire  entire,interviews  interviews,pictures  interview,bill</t>
  </si>
  <si>
    <t>bill,drummond  drummond,jimmy  jimmy,cauty  cauty,agree  agree,never  never,speak  speak,write  write,use  use,form  form,media</t>
  </si>
  <si>
    <t>bill,drummond  cauty,agree  drummond,j  j,cauty  agree,allow  allow,alan  alan,goodrick  goodrick,use  use,whatever  whatever,purpose</t>
  </si>
  <si>
    <t>announcing,launch  launch,event  event,wayswithweirds  wayswithweirds,s  s,'what  'what,remains  remains,'  ',book  book,detailing  detailing,life</t>
  </si>
  <si>
    <t>thrilled,doing  doing,tweetbytheriver  tweetbytheriver,marvellous  marvellous,bill  bill,drummond  drummond,equally  equally,marvellous  marvellous,salenagodden</t>
  </si>
  <si>
    <t>incredibly,excited  excited,launch  launch,event  event,wayswithweirds'  wayswithweirds',new  new,book  book,'what  'what,remains  remains,life  life,death</t>
  </si>
  <si>
    <t>starting,today  today,rooftopcorby  rooftopcorby,until  until,30th  30th,june  june,2022  2022,edition  edition,25  25,paintings  paintings,world</t>
  </si>
  <si>
    <t>read,june  june,newsletter  newsletter,busy  busy,month  month,bill  bill,drummond  drummond,open  open,call  call,artists  artists,sketchbook</t>
  </si>
  <si>
    <t>stephenclarke80,lizamccarron  lizamccarron,wayswithweirds  wayswithweirds,bill  bill,drummond  bill,drummond's  drummond's,soup  soup,lines  lines,klf  klf,nuts  nuts,learning</t>
  </si>
  <si>
    <t>lizamccarron,thenarraback  thenarraback,wayswithweirds  bill,drummond  wayswithweirds,feel  feel,meet  meet,bill  bill,yes  yes,write  write,good  good,trick</t>
  </si>
  <si>
    <t>grimartgroup,really  really,enjoying  enjoying,catching  catching,up  up,#wordartweeked  #wordartweeked,here's  here's,one  one,episode  episode,72  72,gt</t>
  </si>
  <si>
    <t>bill,drummond  drummond,25  25,paintings  paintings,11th  11th,30th  30th,june</t>
  </si>
  <si>
    <t>imagine,waking  waking,tomorrow  tomorrow,music  music,disappeared  disappeared,graffiti  graffiti,done  done,bill  bill,drummond  drummond,4am  4am,7th</t>
  </si>
  <si>
    <t>bill,drummond  collettwriter,musician  musician,table  table,idea  idea,bill  drummond,thought  thought,radio  radio,clyde  clyde,dj  dj,something</t>
  </si>
  <si>
    <t>bill,drummond  s,bill  collettwriter,abrown667  abrown667,bill  drummond,keeps  keeps,getting  getting,stranger  collettwriter,ah  ah,s  drummond,going</t>
  </si>
  <si>
    <t>uniswap,token  briefly,hit  ethereum,whale's  whale's,uniswap  token,briefly  hit,100k  100k,s  s,catch  catch,boa  boa,new</t>
  </si>
  <si>
    <t>trevorjonesart,nftculture  nftculture,superrare  superrare,silent  silent,opera  opera,music  music,day  day,bill  bill,drummond  drummond,british  british,conceptual</t>
  </si>
  <si>
    <t>now,more  more,need  need,bill  bill,drummond  drummond,gn</t>
  </si>
  <si>
    <t>bill,drummond  bob_fischer,bill  drummond,tenzing  tenzing,scott  scott,brown  brown,alter  alter,ego  reactionsto2023,jimmccauley  jimmccauley,bill  drummond,holly</t>
  </si>
  <si>
    <t>bill,drummond  drummond,set  set,up  up,tea  tea,room  room,mailshots  mailshots,joy  joy,oh  oh,congratulations  congratulations,#tearoomwedding</t>
  </si>
  <si>
    <t>wait,bill  bill,drummond  drummond,25  25,seemingly  seemingly,sentient  sentient,paintings  paintings,tea  tea,n  n,scones  scones,desolate</t>
  </si>
  <si>
    <t>tonytiger67,bill  bill,drummond  drummond,side  side,project  project,decent</t>
  </si>
  <si>
    <t>corby,art  art,music  music,maverick  maverick,bill  bill,drummond  drummond,back  back,new  new,exhibition  exhibition,#klf</t>
  </si>
  <si>
    <t>kev__1987,stu_art_p  stu_art_p,bill  bill,drummond</t>
  </si>
  <si>
    <t>myrealnameisdj,scottaukerman  scottaukerman,torquilcampbell  torquilcampbell,youarestars  youarestars,highly  highly,recommend  recommend,book  book,turn  turn,up  up,strobe  strobe,ian</t>
  </si>
  <si>
    <t>kev__1987,bill  bill,drummond  drummond,timelords  timelords,klf</t>
  </si>
  <si>
    <t>brian_mccaul,yourself  yourself,up  up,road  road,derry  derry,londonderry  londonderry,speak  speak,ben  ben,abbazappa  abbazappa,yellow  yellow,yard</t>
  </si>
  <si>
    <t>chubbicorn219,bitcoin  bitcoin,bill  bill,drummond</t>
  </si>
  <si>
    <t>bill,drummond  kev__1987,stu_art_p  stu_art_p,jemmilner  jemmilner,bill  drummond,number  number,1  1,hits  hits,klf  klf,3am  3am,eternal</t>
  </si>
  <si>
    <t>Top Word Pairs in Tweet by Salience</t>
  </si>
  <si>
    <t>drummond,j  j,cauty  agree,allow  allow,alan  alan,goodrick  goodrick,use  use,whatever  whatever,purpose  purpose,film  film,watch</t>
  </si>
  <si>
    <t>wayswithweirds,feel  feel,meet  meet,bill  bill,yes  yes,write  write,good  good,trick  trick,write  write,penultimate  penultimate,paragraph</t>
  </si>
  <si>
    <t>collettwriter,musician  musician,table  table,idea  idea,bill  drummond,thought  thought,radio  radio,clyde  clyde,dj  dj,something  collettwriter,once</t>
  </si>
  <si>
    <t>collettwriter,abrown667  abrown667,bill  drummond,keeps  keeps,getting  getting,stranger  collettwriter,ah  ah,s  drummond,going  going,round  round,world</t>
  </si>
  <si>
    <t>bob_fischer,bill  drummond,tenzing  tenzing,scott  scott,brown  brown,alter  alter,ego  reactionsto2023,jimmccauley  jimmccauley,bill  drummond,holly  holly,johnson</t>
  </si>
  <si>
    <t>kev__1987,stu_art_p  stu_art_p,jemmilner  jemmilner,bill  drummond,number  number,1  1,hits  hits,klf  klf,3am  3am,eternal  eternal,timelords</t>
  </si>
  <si>
    <t>mark,e  e,smith  cottage,pie  shepherds,pie  gill,sans  graphic,design  drummond,shepherds  drummond,crabbies  fall,bill  drummond,straws</t>
  </si>
  <si>
    <t>Word</t>
  </si>
  <si>
    <t>Sentiment List#1</t>
  </si>
  <si>
    <t>Sentiment List#2</t>
  </si>
  <si>
    <t>Sentiment List#3</t>
  </si>
  <si>
    <t>Words in Sentiment List#1</t>
  </si>
  <si>
    <t>Words in Sentiment List#2</t>
  </si>
  <si>
    <t>Words in Sentiment List#3</t>
  </si>
  <si>
    <t>Non-categorized Words</t>
  </si>
  <si>
    <t>Total Words</t>
  </si>
  <si>
    <t>buckfast</t>
  </si>
  <si>
    <t>chombo</t>
  </si>
  <si>
    <t>duncan</t>
  </si>
  <si>
    <t>strokes</t>
  </si>
  <si>
    <t>shepherds</t>
  </si>
  <si>
    <t>cottage</t>
  </si>
  <si>
    <t>stamps</t>
  </si>
  <si>
    <t>typography</t>
  </si>
  <si>
    <t>gill</t>
  </si>
  <si>
    <t>grant</t>
  </si>
  <si>
    <t>sans</t>
  </si>
  <si>
    <t>graphic</t>
  </si>
  <si>
    <t>design</t>
  </si>
  <si>
    <t>car</t>
  </si>
  <si>
    <t>int</t>
  </si>
  <si>
    <t>tim</t>
  </si>
  <si>
    <t>looks</t>
  </si>
  <si>
    <t>back</t>
  </si>
  <si>
    <t>out</t>
  </si>
  <si>
    <t>lex</t>
  </si>
  <si>
    <t>ellie</t>
  </si>
  <si>
    <t>front</t>
  </si>
  <si>
    <t>look</t>
  </si>
  <si>
    <t>rex</t>
  </si>
  <si>
    <t>one</t>
  </si>
  <si>
    <t>hammond</t>
  </si>
  <si>
    <t>t</t>
  </si>
  <si>
    <t>ext</t>
  </si>
  <si>
    <t>world</t>
  </si>
  <si>
    <t>muldoon</t>
  </si>
  <si>
    <t>rear</t>
  </si>
  <si>
    <t>down</t>
  </si>
  <si>
    <t>more</t>
  </si>
  <si>
    <t>'what</t>
  </si>
  <si>
    <t>remains</t>
  </si>
  <si>
    <t>life</t>
  </si>
  <si>
    <t>road</t>
  </si>
  <si>
    <t>now</t>
  </si>
  <si>
    <t>side</t>
  </si>
  <si>
    <t>announcing</t>
  </si>
  <si>
    <t>'</t>
  </si>
  <si>
    <t>detailing</t>
  </si>
  <si>
    <t>punk</t>
  </si>
  <si>
    <t>undertaker</t>
  </si>
  <si>
    <t>ft</t>
  </si>
  <si>
    <t>rupert</t>
  </si>
  <si>
    <t>callender</t>
  </si>
  <si>
    <t>reading</t>
  </si>
  <si>
    <t>conversation</t>
  </si>
  <si>
    <t>special</t>
  </si>
  <si>
    <t>guest</t>
  </si>
  <si>
    <t>cbtr</t>
  </si>
  <si>
    <t>djs</t>
  </si>
  <si>
    <t>info</t>
  </si>
  <si>
    <t>thrilled</t>
  </si>
  <si>
    <t>doing</t>
  </si>
  <si>
    <t>equally</t>
  </si>
  <si>
    <t>malcolm</t>
  </si>
  <si>
    <t>raptor</t>
  </si>
  <si>
    <t>way</t>
  </si>
  <si>
    <t>over</t>
  </si>
  <si>
    <t>turns</t>
  </si>
  <si>
    <t>nedry</t>
  </si>
  <si>
    <t>door</t>
  </si>
  <si>
    <t>little</t>
  </si>
  <si>
    <t>above</t>
  </si>
  <si>
    <t>towards</t>
  </si>
  <si>
    <t>pen</t>
  </si>
  <si>
    <t>open</t>
  </si>
  <si>
    <t>around</t>
  </si>
  <si>
    <t>takes</t>
  </si>
  <si>
    <t>screams</t>
  </si>
  <si>
    <t>june</t>
  </si>
  <si>
    <t>new</t>
  </si>
  <si>
    <t>jeep</t>
  </si>
  <si>
    <t>right</t>
  </si>
  <si>
    <t>behind</t>
  </si>
  <si>
    <t>cut</t>
  </si>
  <si>
    <t>kids</t>
  </si>
  <si>
    <t>through</t>
  </si>
  <si>
    <t>near</t>
  </si>
  <si>
    <t>wait</t>
  </si>
  <si>
    <t>feet</t>
  </si>
  <si>
    <t>stare</t>
  </si>
  <si>
    <t>pulls</t>
  </si>
  <si>
    <t>moves</t>
  </si>
  <si>
    <t>away</t>
  </si>
  <si>
    <t>during</t>
  </si>
  <si>
    <t>cauty</t>
  </si>
  <si>
    <t>art</t>
  </si>
  <si>
    <t>write</t>
  </si>
  <si>
    <t>23</t>
  </si>
  <si>
    <t>again</t>
  </si>
  <si>
    <t>come</t>
  </si>
  <si>
    <t>inside</t>
  </si>
  <si>
    <t>tim's</t>
  </si>
  <si>
    <t>see</t>
  </si>
  <si>
    <t>still</t>
  </si>
  <si>
    <t>omitted</t>
  </si>
  <si>
    <t>high</t>
  </si>
  <si>
    <t>slowly</t>
  </si>
  <si>
    <t>runs</t>
  </si>
  <si>
    <t>tree</t>
  </si>
  <si>
    <t>direction</t>
  </si>
  <si>
    <t>two</t>
  </si>
  <si>
    <t>roar</t>
  </si>
  <si>
    <t>raises</t>
  </si>
  <si>
    <t>kitchen</t>
  </si>
  <si>
    <t>ian</t>
  </si>
  <si>
    <t>climbs</t>
  </si>
  <si>
    <t>room</t>
  </si>
  <si>
    <t>against</t>
  </si>
  <si>
    <t>eyes</t>
  </si>
  <si>
    <t>grabs</t>
  </si>
  <si>
    <t>rustling</t>
  </si>
  <si>
    <t>crate</t>
  </si>
  <si>
    <t>sound</t>
  </si>
  <si>
    <t>table</t>
  </si>
  <si>
    <t>hit</t>
  </si>
  <si>
    <t>form</t>
  </si>
  <si>
    <t>1992</t>
  </si>
  <si>
    <t>brit</t>
  </si>
  <si>
    <t>awards</t>
  </si>
  <si>
    <t>fired</t>
  </si>
  <si>
    <t>blanks</t>
  </si>
  <si>
    <t>audience</t>
  </si>
  <si>
    <t>speak</t>
  </si>
  <si>
    <t>jimmy</t>
  </si>
  <si>
    <t>maverick</t>
  </si>
  <si>
    <t>exhibition</t>
  </si>
  <si>
    <t>25</t>
  </si>
  <si>
    <t>paintings</t>
  </si>
  <si>
    <t>years</t>
  </si>
  <si>
    <t>never</t>
  </si>
  <si>
    <t>agree</t>
  </si>
  <si>
    <t>use</t>
  </si>
  <si>
    <t>million</t>
  </si>
  <si>
    <t>gennaro</t>
  </si>
  <si>
    <t>far</t>
  </si>
  <si>
    <t>starts</t>
  </si>
  <si>
    <t>guy</t>
  </si>
  <si>
    <t>onto</t>
  </si>
  <si>
    <t>waist</t>
  </si>
  <si>
    <t>overdrive</t>
  </si>
  <si>
    <t>small</t>
  </si>
  <si>
    <t>cage</t>
  </si>
  <si>
    <t>house</t>
  </si>
  <si>
    <t>walks</t>
  </si>
  <si>
    <t>explorers</t>
  </si>
  <si>
    <t>five</t>
  </si>
  <si>
    <t>absolute</t>
  </si>
  <si>
    <t>rapture</t>
  </si>
  <si>
    <t>mine</t>
  </si>
  <si>
    <t>follows</t>
  </si>
  <si>
    <t>finds</t>
  </si>
  <si>
    <t>between</t>
  </si>
  <si>
    <t>smashes</t>
  </si>
  <si>
    <t>jeeps</t>
  </si>
  <si>
    <t>bends</t>
  </si>
  <si>
    <t>dinosaur</t>
  </si>
  <si>
    <t>velociraptor</t>
  </si>
  <si>
    <t>maybe</t>
  </si>
  <si>
    <t>twenty</t>
  </si>
  <si>
    <t>wide</t>
  </si>
  <si>
    <t>window</t>
  </si>
  <si>
    <t>park</t>
  </si>
  <si>
    <t>map</t>
  </si>
  <si>
    <t>man</t>
  </si>
  <si>
    <t>landing</t>
  </si>
  <si>
    <t>yellow</t>
  </si>
  <si>
    <t>round</t>
  </si>
  <si>
    <t>pumps</t>
  </si>
  <si>
    <t>helicopter</t>
  </si>
  <si>
    <t>hurries</t>
  </si>
  <si>
    <t>dennis</t>
  </si>
  <si>
    <t>hard</t>
  </si>
  <si>
    <t>flying</t>
  </si>
  <si>
    <t>notices</t>
  </si>
  <si>
    <t>races</t>
  </si>
  <si>
    <t>forward</t>
  </si>
  <si>
    <t>skeletons</t>
  </si>
  <si>
    <t>swept</t>
  </si>
  <si>
    <t>another</t>
  </si>
  <si>
    <t>humans</t>
  </si>
  <si>
    <t>opens</t>
  </si>
  <si>
    <t>shroud</t>
  </si>
  <si>
    <t>canteen</t>
  </si>
  <si>
    <t>starting</t>
  </si>
  <si>
    <t>jerks</t>
  </si>
  <si>
    <t>slightly</t>
  </si>
  <si>
    <t>reaches</t>
  </si>
  <si>
    <t>very</t>
  </si>
  <si>
    <t>video</t>
  </si>
  <si>
    <t>screen</t>
  </si>
  <si>
    <t>goes</t>
  </si>
  <si>
    <t>air</t>
  </si>
  <si>
    <t>branches</t>
  </si>
  <si>
    <t>lobby</t>
  </si>
  <si>
    <t>dna</t>
  </si>
  <si>
    <t>ground</t>
  </si>
  <si>
    <t>before</t>
  </si>
  <si>
    <t>picks</t>
  </si>
  <si>
    <t>sees</t>
  </si>
  <si>
    <t>building</t>
  </si>
  <si>
    <t>wildly</t>
  </si>
  <si>
    <t>enjoying</t>
  </si>
  <si>
    <t>head</t>
  </si>
  <si>
    <t>reads</t>
  </si>
  <si>
    <t>notice</t>
  </si>
  <si>
    <t>checking</t>
  </si>
  <si>
    <t>falls</t>
  </si>
  <si>
    <t>hits</t>
  </si>
  <si>
    <t>keeps</t>
  </si>
  <si>
    <t>thought</t>
  </si>
  <si>
    <t>big</t>
  </si>
  <si>
    <t>19</t>
  </si>
  <si>
    <t>happy</t>
  </si>
  <si>
    <t>birthday</t>
  </si>
  <si>
    <t>w</t>
  </si>
  <si>
    <t>sonnyrollins</t>
  </si>
  <si>
    <t>number</t>
  </si>
  <si>
    <t>1</t>
  </si>
  <si>
    <t>whatever</t>
  </si>
  <si>
    <t>day</t>
  </si>
  <si>
    <t>good</t>
  </si>
  <si>
    <t>highly</t>
  </si>
  <si>
    <t>tea</t>
  </si>
  <si>
    <t>couple</t>
  </si>
  <si>
    <t>pictures</t>
  </si>
  <si>
    <t>名盤ジャケの元ネタ</t>
  </si>
  <si>
    <t>chill</t>
  </si>
  <si>
    <t>drummondは</t>
  </si>
  <si>
    <t>カバーをpink</t>
  </si>
  <si>
    <t>floyd</t>
  </si>
  <si>
    <t>atom</t>
  </si>
  <si>
    <t>heart</t>
  </si>
  <si>
    <t>mother</t>
  </si>
  <si>
    <t>からの影響を公言</t>
  </si>
  <si>
    <t>当時のイギリスレイヴシーンの雰囲気を持つアートのイメージは</t>
  </si>
  <si>
    <t>田舎でorbitalが巨大レイヴをやり</t>
  </si>
  <si>
    <t>一晩中踊り</t>
  </si>
  <si>
    <t>朝になると日が昇ってきて</t>
  </si>
  <si>
    <t>田舎に囲まれている感じを表現した</t>
  </si>
  <si>
    <t>uniswap</t>
  </si>
  <si>
    <t>token</t>
  </si>
  <si>
    <t>briefly</t>
  </si>
  <si>
    <t>well</t>
  </si>
  <si>
    <t>death</t>
  </si>
  <si>
    <t>catching</t>
  </si>
  <si>
    <t>#billdrummond</t>
  </si>
  <si>
    <t>30th</t>
  </si>
  <si>
    <t>start</t>
  </si>
  <si>
    <t>#corby</t>
  </si>
  <si>
    <t>julian</t>
  </si>
  <si>
    <t>cope</t>
  </si>
  <si>
    <t>'bill</t>
  </si>
  <si>
    <t>said'</t>
  </si>
  <si>
    <t>'fried'</t>
  </si>
  <si>
    <t>mercury</t>
  </si>
  <si>
    <t>records</t>
  </si>
  <si>
    <t>1984</t>
  </si>
  <si>
    <t>#juliancope</t>
  </si>
  <si>
    <t>#mercuryrecords</t>
  </si>
  <si>
    <t>#indiepop</t>
  </si>
  <si>
    <t>#alternativepop</t>
  </si>
  <si>
    <t>#newwave</t>
  </si>
  <si>
    <t>#fried</t>
  </si>
  <si>
    <t>#pop</t>
  </si>
  <si>
    <t>#vinylrecords</t>
  </si>
  <si>
    <t>film</t>
  </si>
  <si>
    <t>media</t>
  </si>
  <si>
    <t>mention</t>
  </si>
  <si>
    <t>burning</t>
  </si>
  <si>
    <t>pounds</t>
  </si>
  <si>
    <t>money</t>
  </si>
  <si>
    <t>occurred</t>
  </si>
  <si>
    <t>island</t>
  </si>
  <si>
    <t>jura</t>
  </si>
  <si>
    <t>august</t>
  </si>
  <si>
    <t>1994</t>
  </si>
  <si>
    <t>period</t>
  </si>
  <si>
    <t>date</t>
  </si>
  <si>
    <t>signature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</si>
  <si>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</si>
  <si>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</si>
  <si>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</si>
  <si>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</si>
  <si>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</si>
  <si>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</si>
  <si>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</si>
  <si>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</si>
  <si>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</si>
  <si>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</si>
  <si>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</si>
  <si>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</si>
  <si>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</si>
  <si>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</si>
  <si>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</si>
  <si>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</si>
  <si>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</si>
  <si>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</si>
  <si>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</si>
  <si>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</si>
  <si>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</si>
  <si>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</si>
  <si>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</si>
  <si>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</si>
  <si>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</si>
  <si>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</si>
  <si>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</si>
  <si>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</si>
  <si>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</si>
  <si>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</si>
  <si>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</si>
  <si>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</si>
  <si>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</si>
  <si>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</si>
  <si>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</si>
  <si>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</si>
  <si>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</si>
  <si>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</si>
  <si>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</si>
  <si>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</si>
  <si>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</si>
  <si>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</si>
  <si>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</si>
  <si>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</si>
  <si>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</si>
  <si>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</si>
  <si>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</si>
  <si>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</si>
  <si>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</si>
  <si>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</si>
  <si>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</si>
  <si>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</si>
  <si>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</si>
  <si>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</si>
  <si>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</si>
  <si>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</si>
  <si>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</si>
  <si>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</si>
  <si>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</si>
  <si>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</si>
  <si>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</si>
  <si>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</si>
  <si>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</si>
  <si>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</si>
  <si>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Red</t>
  </si>
  <si>
    <t>G1: bill drummond salenagodden s marvellous wayswithweirds book first launch event</t>
  </si>
  <si>
    <t>G2: bill drummond pie fall straws crabbies klf mark e smith</t>
  </si>
  <si>
    <t>G3: kev__1987 bill drummond stu_art_p klf timelords jemmilner</t>
  </si>
  <si>
    <t>G5: opera artist</t>
  </si>
  <si>
    <t>G6: bill drummond corby interview exhibiting latest work quite something alisonbagley1</t>
  </si>
  <si>
    <t>G7: bill drummond</t>
  </si>
  <si>
    <t>G8: collettwriter bill drummond s going</t>
  </si>
  <si>
    <t>G9: klf sounds terrorist group bill drummond played up gleefully infamously</t>
  </si>
  <si>
    <t>G10: those calm days 2008 word magazine issue 65 featuring bill</t>
  </si>
  <si>
    <t>G11: june 19 happy birthday bill drummond w sonnyrollins</t>
  </si>
  <si>
    <t>G13: ben</t>
  </si>
  <si>
    <t>G16: 名盤ジャケの元ネタ klf chill out bill drummondは カバーをpink floyd atom heart</t>
  </si>
  <si>
    <t>G18: june bill drummond #corby</t>
  </si>
  <si>
    <t>G19: julian cope 'bill drummond said' 'fried' mercury records 1984 #juliancope</t>
  </si>
  <si>
    <t>G20: 23 bill drummond cauty agree use million film jimmy never</t>
  </si>
  <si>
    <t>Edge Weight▓1▓142▓0▓True▓Green▓Red▓▓Edge Weight▓142▓142▓0▓3▓10▓False▓Edge Weight▓1▓142▓0▓32▓6▓False▓▓0▓0▓0▓True▓Black▓Black▓▓Followers▓8▓50727▓0▓162▓1000▓False▓Followers▓8▓319390▓0▓100▓70▓False▓▓0▓0▓0▓0▓0▓False▓▓0▓0▓0▓0▓0▓False</t>
  </si>
  <si>
    <t>Subgraph</t>
  </si>
  <si>
    <t>GraphSource░TwitterSearch▓GraphTerm░"Bill Drummond"▓ImportDescription░The graph represents a network of 80 Twitter users whose recent tweets contained ""Bill Drummond"", or who were replied to or mentioned in those tweets, taken from a data set limited to a maximum of 18,000 tweets.  The network was obtained from Twitter on Sunday, 19 June 2022 at 11:20 UTC.
The tweets in the network were tweeted over the 9-day, 6-hour, 55-minute period from Friday, 10 June 2022 at 04:11 UTC to Sunday, 19 June 2022 at 11:06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"mentions".▓ImportSuggestedTitle░"Bill Drummond" Twitter NodeXL SNA Map and Report for Sunday, 19 June 2022 at 11:20 UTC▓ImportSuggestedFileNameNoExtension░2022-06-19 11-20-31 NodeXL Twitter Search "Bill Drummond"▓GroupingDescription░The graph's vertices were grouped by cluster using the Clauset-Newman-Moore cluster algorithm.▓LayoutAlgorithm░The graph was laid out using the Harel-Koren Fast Multiscale layout algorithm.▓GraphDirectedness░The graph is directed.</t>
  </si>
  <si>
    <t>TwitterSearch</t>
  </si>
  <si>
    <t>"Bill Drummond"</t>
  </si>
  <si>
    <t>The graph represents a network of 80 Twitter users whose recent tweets contained ""Bill Drummond"", or who were replied to or mentioned in those tweets, taken from a data set limited to a maximum of 18,000 tweets.  The network was obtained from Twitter on Sunday, 19 June 2022 at 11:20 UTC.
The tweets in the network were tweeted over the 9-day, 6-hour, 55-minute period from Friday, 10 June 2022 at 04:11 UTC to Sunday, 19 June 2022 at 11:06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</si>
  <si>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</si>
  <si>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</si>
  <si>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</si>
  <si>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</si>
  <si>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https://nodexlgraphgallery.org/Pages/Graph.aspx?graphID=278348</t>
  </si>
  <si>
    <t>https://nodexlgraphgallery.org/Images/Image.ashx?graphID=278348&amp;type=f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</si>
</sst>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8">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24718"/>
        <c:axId val="17087007"/>
      </c:barChart>
      <c:catAx>
        <c:axId val="31724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87007"/>
        <c:crosses val="autoZero"/>
        <c:auto val="1"/>
        <c:lblOffset val="100"/>
        <c:noMultiLvlLbl val="0"/>
      </c:catAx>
      <c:valAx>
        <c:axId val="1708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65336"/>
        <c:axId val="41870297"/>
      </c:barChart>
      <c:catAx>
        <c:axId val="19565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70297"/>
        <c:crosses val="autoZero"/>
        <c:auto val="1"/>
        <c:lblOffset val="100"/>
        <c:noMultiLvlLbl val="0"/>
      </c:catAx>
      <c:valAx>
        <c:axId val="418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516310"/>
        <c:axId val="38102471"/>
      </c:barChart>
      <c:catAx>
        <c:axId val="41516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02471"/>
        <c:crosses val="autoZero"/>
        <c:auto val="1"/>
        <c:lblOffset val="100"/>
        <c:noMultiLvlLbl val="0"/>
      </c:catAx>
      <c:valAx>
        <c:axId val="3810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377920"/>
        <c:axId val="66401281"/>
      </c:barChart>
      <c:catAx>
        <c:axId val="7377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01281"/>
        <c:crosses val="autoZero"/>
        <c:auto val="1"/>
        <c:lblOffset val="100"/>
        <c:noMultiLvlLbl val="0"/>
      </c:catAx>
      <c:valAx>
        <c:axId val="66401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7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40618"/>
        <c:axId val="9794651"/>
      </c:barChart>
      <c:catAx>
        <c:axId val="60740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94651"/>
        <c:crosses val="autoZero"/>
        <c:auto val="1"/>
        <c:lblOffset val="100"/>
        <c:noMultiLvlLbl val="0"/>
      </c:catAx>
      <c:valAx>
        <c:axId val="979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42996"/>
        <c:axId val="55169237"/>
      </c:barChart>
      <c:catAx>
        <c:axId val="21042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69237"/>
        <c:crosses val="autoZero"/>
        <c:auto val="1"/>
        <c:lblOffset val="100"/>
        <c:noMultiLvlLbl val="0"/>
      </c:catAx>
      <c:valAx>
        <c:axId val="551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61086"/>
        <c:axId val="39523183"/>
      </c:barChart>
      <c:catAx>
        <c:axId val="26761086"/>
        <c:scaling>
          <c:orientation val="minMax"/>
        </c:scaling>
        <c:axPos val="b"/>
        <c:delete val="1"/>
        <c:majorTickMark val="out"/>
        <c:minorTickMark val="none"/>
        <c:tickLblPos val="none"/>
        <c:crossAx val="39523183"/>
        <c:crosses val="autoZero"/>
        <c:auto val="1"/>
        <c:lblOffset val="100"/>
        <c:noMultiLvlLbl val="0"/>
      </c:catAx>
      <c:valAx>
        <c:axId val="39523183"/>
        <c:scaling>
          <c:orientation val="minMax"/>
        </c:scaling>
        <c:axPos val="l"/>
        <c:delete val="1"/>
        <c:majorTickMark val="out"/>
        <c:minorTickMark val="none"/>
        <c:tickLblPos val="none"/>
        <c:crossAx val="267610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ntelegrap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nerans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lisonbagley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atie_cron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ikkialexand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opusfluk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ubot23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cwezel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alenagodd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wayswithweird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weetbytheriv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aulduanefil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chelseagre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zlo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astasiat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nicolawriti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nsumpt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originalsyn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jpt_pari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vinyl_for_lif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canntfestiv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ooftopcorb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13li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festival23co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upsmag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wholehog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nndroi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nigetasse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thenarrabac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lizamccarr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tephenclarke8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chiltonbel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radiolent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grimartgrou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aldavidcart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dritsumotanosh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ichaeldaly6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collettwrit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caroline_binni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brown66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om4059196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40000037s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erovskite_"/>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myselle404"/>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charmienzand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perrar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nftcultur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trevorjonesar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billybobbagho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mr_hopkins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jimmccaule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reactionsto202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bob_fisch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dawsepa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aneclifford2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iryfairynew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peterradiato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tonytiger6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ironmanrecord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realpilleat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heghouli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michaelmee_to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stu_art_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kev__198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mennoknigh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youarestar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torquilcampbe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cottaukerma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myrealnameisdj"/>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isgracelands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peanutpower4"/>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rian_mccau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cartrell_payn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ec0z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hubbicorn219"/>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thevinylsla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jemmiln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kalinecountr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paperyou"/>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hombotoffici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59" totalsRowShown="0" headerRowDxfId="434" dataDxfId="398">
  <autoFilter ref="A2:BN259"/>
  <tableColumns count="66">
    <tableColumn id="1" name="Vertex 1" dataDxfId="383"/>
    <tableColumn id="2" name="Vertex 2" dataDxfId="381"/>
    <tableColumn id="3" name="Color" dataDxfId="382"/>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287"/>
    <tableColumn id="7" name="ID" dataDxfId="400"/>
    <tableColumn id="9" name="Dynamic Filter" dataDxfId="399"/>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Date" dataDxfId="370"/>
    <tableColumn id="25" name="Time" dataDxfId="369"/>
    <tableColumn id="26" name="Twitter Page for Tweet" dataDxfId="368"/>
    <tableColumn id="27" name="Latitude" dataDxfId="367"/>
    <tableColumn id="28" name="Longitude" dataDxfId="366"/>
    <tableColumn id="29" name="Imported ID" dataDxfId="365"/>
    <tableColumn id="30" name="In-Reply-To Tweet ID" dataDxfId="364"/>
    <tableColumn id="31" name="Favorited" dataDxfId="363"/>
    <tableColumn id="32" name="Favorite Count" dataDxfId="362"/>
    <tableColumn id="33" name="In-Reply-To User ID" dataDxfId="361"/>
    <tableColumn id="34" name="Is Quote Status" dataDxfId="360"/>
    <tableColumn id="35" name="Language" dataDxfId="359"/>
    <tableColumn id="36" name="Possibly Sensitive" dataDxfId="358"/>
    <tableColumn id="37" name="Quoted Status ID" dataDxfId="357"/>
    <tableColumn id="38" name="Retweeted" dataDxfId="356"/>
    <tableColumn id="39" name="Retweet Count" dataDxfId="355"/>
    <tableColumn id="40" name="Retweet ID" dataDxfId="354"/>
    <tableColumn id="41" name="Source" dataDxfId="353"/>
    <tableColumn id="42" name="Truncated" dataDxfId="352"/>
    <tableColumn id="43" name="Unified Twitter ID" dataDxfId="351"/>
    <tableColumn id="44" name="Imported Tweet Type" dataDxfId="350"/>
    <tableColumn id="45" name="Added By Extended Analysis" dataDxfId="349"/>
    <tableColumn id="46" name="Corrected By Extended Analysis" dataDxfId="348"/>
    <tableColumn id="47" name="Place Bounding Box" dataDxfId="347"/>
    <tableColumn id="48" name="Place Country" dataDxfId="346"/>
    <tableColumn id="49" name="Place Country Code" dataDxfId="345"/>
    <tableColumn id="50" name="Place Full Name" dataDxfId="344"/>
    <tableColumn id="51" name="Place ID" dataDxfId="343"/>
    <tableColumn id="52" name="Place Name" dataDxfId="342"/>
    <tableColumn id="53" name="Place Type" dataDxfId="341"/>
    <tableColumn id="54" name="Place URL" dataDxfId="340"/>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1" totalsRowShown="0" headerRowDxfId="76" dataDxfId="75">
  <autoFilter ref="A1:G691"/>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82" totalsRowShown="0" headerRowDxfId="433" dataDxfId="384">
  <autoFilter ref="A2:BU82"/>
  <tableColumns count="73">
    <tableColumn id="1" name="Vertex" dataDxfId="397"/>
    <tableColumn id="73" name="Subgraph"/>
    <tableColumn id="2" name="Color" dataDxfId="396"/>
    <tableColumn id="5" name="Shape" dataDxfId="395"/>
    <tableColumn id="6" name="Size" dataDxfId="394"/>
    <tableColumn id="4" name="Opacity" dataDxfId="319"/>
    <tableColumn id="7" name="Image File" dataDxfId="317"/>
    <tableColumn id="3" name="Visibility" dataDxfId="318"/>
    <tableColumn id="10" name="Label" dataDxfId="393"/>
    <tableColumn id="16" name="Label Fill Color" dataDxfId="392"/>
    <tableColumn id="9" name="Label Position" dataDxfId="313"/>
    <tableColumn id="8" name="Tooltip" dataDxfId="311"/>
    <tableColumn id="18" name="Layout Order" dataDxfId="312"/>
    <tableColumn id="13" name="X" dataDxfId="391"/>
    <tableColumn id="14" name="Y" dataDxfId="390"/>
    <tableColumn id="12" name="Locked?" dataDxfId="389"/>
    <tableColumn id="19" name="Polar R" dataDxfId="388"/>
    <tableColumn id="20" name="Polar Angle" dataDxfId="38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86"/>
    <tableColumn id="28" name="Dynamic Filter" dataDxfId="385"/>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6"/>
    <tableColumn id="50" name="Custom Menu Item Text" dataDxfId="315"/>
    <tableColumn id="51" name="Custom Menu Item Action" dataDxfId="314"/>
    <tableColumn id="52" name="Tweeted Search Term?" dataDxfId="303"/>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44" totalsRowShown="0" headerRowDxfId="67" dataDxfId="66">
  <autoFilter ref="A1:L64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23" dataDxfId="22">
  <autoFilter ref="A2:C2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32">
  <autoFilter ref="A2:AO22"/>
  <tableColumns count="41">
    <tableColumn id="1" name="Group" dataDxfId="310"/>
    <tableColumn id="2" name="Vertex Color" dataDxfId="309"/>
    <tableColumn id="3" name="Vertex Shape" dataDxfId="307"/>
    <tableColumn id="22" name="Visibility" dataDxfId="308"/>
    <tableColumn id="4" name="Collapsed?"/>
    <tableColumn id="18" name="Label" dataDxfId="431"/>
    <tableColumn id="20" name="Collapsed X"/>
    <tableColumn id="21" name="Collapsed Y"/>
    <tableColumn id="6" name="ID" dataDxfId="430"/>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429" dataDxfId="428">
  <autoFilter ref="A1:C81"/>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7"/>
    <tableColumn id="2" name="Degree Frequency" dataDxfId="426">
      <calculatedColumnFormula>COUNTIF(Vertices[Degree], "&gt;= " &amp; D2) - COUNTIF(Vertices[Degree], "&gt;=" &amp; D3)</calculatedColumnFormula>
    </tableColumn>
    <tableColumn id="3" name="In-Degree Bin" dataDxfId="425"/>
    <tableColumn id="4" name="In-Degree Frequency" dataDxfId="424">
      <calculatedColumnFormula>COUNTIF(Vertices[In-Degree], "&gt;= " &amp; F2) - COUNTIF(Vertices[In-Degree], "&gt;=" &amp; F3)</calculatedColumnFormula>
    </tableColumn>
    <tableColumn id="5" name="Out-Degree Bin" dataDxfId="423"/>
    <tableColumn id="6" name="Out-Degree Frequency" dataDxfId="422">
      <calculatedColumnFormula>COUNTIF(Vertices[Out-Degree], "&gt;= " &amp; H2) - COUNTIF(Vertices[Out-Degree], "&gt;=" &amp; H3)</calculatedColumnFormula>
    </tableColumn>
    <tableColumn id="7" name="Betweenness Centrality Bin" dataDxfId="421"/>
    <tableColumn id="8" name="Betweenness Centrality Frequency" dataDxfId="420">
      <calculatedColumnFormula>COUNTIF(Vertices[Betweenness Centrality], "&gt;= " &amp; J2) - COUNTIF(Vertices[Betweenness Centrality], "&gt;=" &amp; J3)</calculatedColumnFormula>
    </tableColumn>
    <tableColumn id="9" name="Closeness Centrality Bin" dataDxfId="419"/>
    <tableColumn id="10" name="Closeness Centrality Frequency" dataDxfId="418">
      <calculatedColumnFormula>COUNTIF(Vertices[Closeness Centrality], "&gt;= " &amp; L2) - COUNTIF(Vertices[Closeness Centrality], "&gt;=" &amp; L3)</calculatedColumnFormula>
    </tableColumn>
    <tableColumn id="11" name="Eigenvector Centrality Bin" dataDxfId="417"/>
    <tableColumn id="12" name="Eigenvector Centrality Frequency" dataDxfId="416">
      <calculatedColumnFormula>COUNTIF(Vertices[Eigenvector Centrality], "&gt;= " &amp; N2) - COUNTIF(Vertices[Eigenvector Centrality], "&gt;=" &amp; N3)</calculatedColumnFormula>
    </tableColumn>
    <tableColumn id="18" name="PageRank Bin" dataDxfId="415"/>
    <tableColumn id="17" name="PageRank Frequency" dataDxfId="414">
      <calculatedColumnFormula>COUNTIF(Vertices[Eigenvector Centrality], "&gt;= " &amp; P2) - COUNTIF(Vertices[Eigenvector Centrality], "&gt;=" &amp; P3)</calculatedColumnFormula>
    </tableColumn>
    <tableColumn id="13" name="Clustering Coefficient Bin" dataDxfId="413"/>
    <tableColumn id="14" name="Clustering Coefficient Frequency" dataDxfId="412">
      <calculatedColumnFormula>COUNTIF(Vertices[Clustering Coefficient], "&gt;= " &amp; R2) - COUNTIF(Vertices[Clustering Coefficient], "&gt;=" &amp; R3)</calculatedColumnFormula>
    </tableColumn>
    <tableColumn id="15" name="Dynamic Filter Bin" dataDxfId="411"/>
    <tableColumn id="16" name="Dynamic Filter Frequency" dataDxfId="4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orthantstelegraph.co.uk/news/people/corby-art-and-music-maverick-bill-drummond-back-with-new-exhibition-3726882" TargetMode="External" /><Relationship Id="rId2" Type="http://schemas.openxmlformats.org/officeDocument/2006/relationships/hyperlink" Target="https://twitter.com/tweetbytheriver/status/1535321437795500032" TargetMode="External" /><Relationship Id="rId3" Type="http://schemas.openxmlformats.org/officeDocument/2006/relationships/hyperlink" Target="https://www.caughtbytheriver.net/2022/06/what-remains-rupert-callender-launch-event/" TargetMode="External" /><Relationship Id="rId4" Type="http://schemas.openxmlformats.org/officeDocument/2006/relationships/hyperlink" Target="https://www.youtube.com/watch?v=4-g89Hqo-og" TargetMode="External" /><Relationship Id="rId5" Type="http://schemas.openxmlformats.org/officeDocument/2006/relationships/hyperlink" Target="https://www.youtube.com/watch?v=am1s9kmtn5U" TargetMode="External" /><Relationship Id="rId6" Type="http://schemas.openxmlformats.org/officeDocument/2006/relationships/hyperlink" Target="https://www.rooftopartscentre.co.uk/whats-on/" TargetMode="External" /><Relationship Id="rId7" Type="http://schemas.openxmlformats.org/officeDocument/2006/relationships/hyperlink" Target="https://wholehoggblog.wordpress.com/2022/06/12/word-65/" TargetMode="External" /><Relationship Id="rId8" Type="http://schemas.openxmlformats.org/officeDocument/2006/relationships/hyperlink" Target="https://www.youtube.com/watch?v=HcbM77qCu3o" TargetMode="External" /><Relationship Id="rId9" Type="http://schemas.openxmlformats.org/officeDocument/2006/relationships/hyperlink" Target="https://www.youtube.com/watch?v=jEL8k95nNaE" TargetMode="External" /><Relationship Id="rId10" Type="http://schemas.openxmlformats.org/officeDocument/2006/relationships/hyperlink" Target="https://twitter.com/NTelegraph/status/1535193040129871872" TargetMode="External" /><Relationship Id="rId11" Type="http://schemas.openxmlformats.org/officeDocument/2006/relationships/hyperlink" Target="https://twitter.com/tweetbytheriver/status/1535321437795500032" TargetMode="External" /><Relationship Id="rId12" Type="http://schemas.openxmlformats.org/officeDocument/2006/relationships/hyperlink" Target="https://www.caughtbytheriver.net/2022/06/what-remains-rupert-callender-launch-event/" TargetMode="External" /><Relationship Id="rId13" Type="http://schemas.openxmlformats.org/officeDocument/2006/relationships/hyperlink" Target="https://www.northantstelegraph.co.uk/news/people/corby-art-and-music-maverick-bill-drummond-back-with-new-exhibition-3726882" TargetMode="External" /><Relationship Id="rId14" Type="http://schemas.openxmlformats.org/officeDocument/2006/relationships/hyperlink" Target="https://www.rooftopartscentre.co.uk/whats-on/" TargetMode="External" /><Relationship Id="rId15" Type="http://schemas.openxmlformats.org/officeDocument/2006/relationships/hyperlink" Target="https://www.northantstelegraph.co.uk/news/people/corby-art-and-music-maverick-bill-drummond-back-with-new-exhibition-3726882" TargetMode="External" /><Relationship Id="rId16" Type="http://schemas.openxmlformats.org/officeDocument/2006/relationships/hyperlink" Target="https://www.upsmag.com/corby-art-and-music-maverick-bill-drummond-back-with-new-exhibition/" TargetMode="External" /><Relationship Id="rId17" Type="http://schemas.openxmlformats.org/officeDocument/2006/relationships/hyperlink" Target="https://www.penkilnburn.com/antimacassar-to-kurdistan/" TargetMode="External" /><Relationship Id="rId18" Type="http://schemas.openxmlformats.org/officeDocument/2006/relationships/hyperlink" Target="https://www.alimentation.cc/product/antimacassar/" TargetMode="External" /><Relationship Id="rId19" Type="http://schemas.openxmlformats.org/officeDocument/2006/relationships/hyperlink" Target="https://www.northantstelegraph.co.uk/news/people/corby-art-and-music-maverick-bill-drummond-back-with-new-exhibition-3726882" TargetMode="External" /><Relationship Id="rId20" Type="http://schemas.openxmlformats.org/officeDocument/2006/relationships/hyperlink" Target="https://wholehoggblog.wordpress.com/2022/06/12/word-65/"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209</v>
      </c>
      <c r="P2" s="13" t="s">
        <v>210</v>
      </c>
      <c r="Q2" s="13" t="s">
        <v>211</v>
      </c>
      <c r="R2" s="13" t="s">
        <v>212</v>
      </c>
      <c r="S2" s="13" t="s">
        <v>213</v>
      </c>
      <c r="T2" s="13" t="s">
        <v>214</v>
      </c>
      <c r="U2" s="13" t="s">
        <v>215</v>
      </c>
      <c r="V2" s="13" t="s">
        <v>216</v>
      </c>
      <c r="W2" s="13" t="s">
        <v>217</v>
      </c>
      <c r="X2" s="13" t="s">
        <v>218</v>
      </c>
      <c r="Y2" s="13" t="s">
        <v>219</v>
      </c>
      <c r="Z2" s="13" t="s">
        <v>220</v>
      </c>
      <c r="AA2" s="13" t="s">
        <v>221</v>
      </c>
      <c r="AB2" s="13" t="s">
        <v>222</v>
      </c>
      <c r="AC2" s="13" t="s">
        <v>223</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239</v>
      </c>
      <c r="AT2" s="13" t="s">
        <v>240</v>
      </c>
      <c r="AU2" s="13" t="s">
        <v>241</v>
      </c>
      <c r="AV2" s="13" t="s">
        <v>242</v>
      </c>
      <c r="AW2" s="13" t="s">
        <v>243</v>
      </c>
      <c r="AX2" s="13" t="s">
        <v>244</v>
      </c>
      <c r="AY2" s="13" t="s">
        <v>245</v>
      </c>
      <c r="AZ2" s="13" t="s">
        <v>246</v>
      </c>
      <c r="BA2" s="13" t="s">
        <v>247</v>
      </c>
      <c r="BB2" s="13" t="s">
        <v>248</v>
      </c>
      <c r="BC2" t="s">
        <v>1376</v>
      </c>
      <c r="BD2" s="13" t="s">
        <v>1410</v>
      </c>
      <c r="BE2" s="13" t="s">
        <v>1411</v>
      </c>
      <c r="BF2" s="54" t="s">
        <v>2094</v>
      </c>
      <c r="BG2" s="54" t="s">
        <v>2095</v>
      </c>
      <c r="BH2" s="54" t="s">
        <v>2096</v>
      </c>
      <c r="BI2" s="54" t="s">
        <v>2097</v>
      </c>
      <c r="BJ2" s="54" t="s">
        <v>2098</v>
      </c>
      <c r="BK2" s="54" t="s">
        <v>2099</v>
      </c>
      <c r="BL2" s="54" t="s">
        <v>2100</v>
      </c>
      <c r="BM2" s="54" t="s">
        <v>2101</v>
      </c>
      <c r="BN2" s="54" t="s">
        <v>2102</v>
      </c>
    </row>
    <row r="3" spans="1:66" ht="15" customHeight="1">
      <c r="A3" s="66" t="s">
        <v>306</v>
      </c>
      <c r="B3" s="66" t="s">
        <v>306</v>
      </c>
      <c r="C3" s="67" t="s">
        <v>2139</v>
      </c>
      <c r="D3" s="68">
        <v>3</v>
      </c>
      <c r="E3" s="69" t="s">
        <v>132</v>
      </c>
      <c r="F3" s="70">
        <v>32</v>
      </c>
      <c r="G3" s="67"/>
      <c r="H3" s="71"/>
      <c r="I3" s="72"/>
      <c r="J3" s="72"/>
      <c r="K3" s="35" t="s">
        <v>65</v>
      </c>
      <c r="L3" s="73">
        <v>3</v>
      </c>
      <c r="M3" s="73"/>
      <c r="N3" s="74"/>
      <c r="O3" s="81" t="s">
        <v>211</v>
      </c>
      <c r="P3" s="83">
        <v>44722.3971875</v>
      </c>
      <c r="Q3" s="81" t="s">
        <v>517</v>
      </c>
      <c r="R3" s="86" t="str">
        <f>HYPERLINK("https://www.northantstelegraph.co.uk/news/people/corby-art-and-music-maverick-bill-drummond-back-with-new-exhibition-3726882")</f>
        <v>https://www.northantstelegraph.co.uk/news/people/corby-art-and-music-maverick-bill-drummond-back-with-new-exhibition-3726882</v>
      </c>
      <c r="S3" s="81" t="s">
        <v>521</v>
      </c>
      <c r="T3" s="81"/>
      <c r="U3" s="81"/>
      <c r="V3" s="86" t="str">
        <f>HYPERLINK("https://pbs.twimg.com/profile_images/1423201835628761091/282JvrEE_normal.jpg")</f>
        <v>https://pbs.twimg.com/profile_images/1423201835628761091/282JvrEE_normal.jpg</v>
      </c>
      <c r="W3" s="83">
        <v>44722.3971875</v>
      </c>
      <c r="X3" s="88">
        <v>44722</v>
      </c>
      <c r="Y3" s="90" t="s">
        <v>728</v>
      </c>
      <c r="Z3" s="86" t="str">
        <f>HYPERLINK("https://twitter.com/ntelegraph/status/1535193040129871872")</f>
        <v>https://twitter.com/ntelegraph/status/1535193040129871872</v>
      </c>
      <c r="AA3" s="81"/>
      <c r="AB3" s="81"/>
      <c r="AC3" s="90" t="s">
        <v>937</v>
      </c>
      <c r="AD3" s="81"/>
      <c r="AE3" s="81" t="b">
        <v>0</v>
      </c>
      <c r="AF3" s="81">
        <v>2</v>
      </c>
      <c r="AG3" s="90" t="s">
        <v>957</v>
      </c>
      <c r="AH3" s="81" t="b">
        <v>0</v>
      </c>
      <c r="AI3" s="81" t="s">
        <v>973</v>
      </c>
      <c r="AJ3" s="81"/>
      <c r="AK3" s="90" t="s">
        <v>957</v>
      </c>
      <c r="AL3" s="81" t="b">
        <v>0</v>
      </c>
      <c r="AM3" s="81">
        <v>0</v>
      </c>
      <c r="AN3" s="90" t="s">
        <v>957</v>
      </c>
      <c r="AO3" s="90" t="s">
        <v>985</v>
      </c>
      <c r="AP3" s="81" t="b">
        <v>0</v>
      </c>
      <c r="AQ3" s="90" t="s">
        <v>937</v>
      </c>
      <c r="AR3" s="81" t="s">
        <v>211</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0</v>
      </c>
      <c r="BG3" s="50">
        <v>0</v>
      </c>
      <c r="BH3" s="49">
        <v>0</v>
      </c>
      <c r="BI3" s="50">
        <v>0</v>
      </c>
      <c r="BJ3" s="49">
        <v>0</v>
      </c>
      <c r="BK3" s="50">
        <v>0</v>
      </c>
      <c r="BL3" s="49">
        <v>11</v>
      </c>
      <c r="BM3" s="50">
        <v>100</v>
      </c>
      <c r="BN3" s="49">
        <v>11</v>
      </c>
    </row>
    <row r="4" spans="1:66" ht="15" customHeight="1">
      <c r="A4" s="66" t="s">
        <v>249</v>
      </c>
      <c r="B4" s="66" t="s">
        <v>265</v>
      </c>
      <c r="C4" s="67" t="s">
        <v>2139</v>
      </c>
      <c r="D4" s="68">
        <v>3</v>
      </c>
      <c r="E4" s="69" t="s">
        <v>132</v>
      </c>
      <c r="F4" s="70">
        <v>32</v>
      </c>
      <c r="G4" s="67"/>
      <c r="H4" s="71"/>
      <c r="I4" s="72"/>
      <c r="J4" s="72"/>
      <c r="K4" s="35" t="s">
        <v>65</v>
      </c>
      <c r="L4" s="80">
        <v>4</v>
      </c>
      <c r="M4" s="80"/>
      <c r="N4" s="74"/>
      <c r="O4" s="82" t="s">
        <v>329</v>
      </c>
      <c r="P4" s="84">
        <v>44722.462118055555</v>
      </c>
      <c r="Q4" s="82" t="s">
        <v>333</v>
      </c>
      <c r="R4" s="85" t="str">
        <f>HYPERLINK("https://www.northantstelegraph.co.uk/news/people/corby-art-and-music-maverick-bill-drummond-back-with-new-exhibition-3726882")</f>
        <v>https://www.northantstelegraph.co.uk/news/people/corby-art-and-music-maverick-bill-drummond-back-with-new-exhibition-3726882</v>
      </c>
      <c r="S4" s="82" t="s">
        <v>521</v>
      </c>
      <c r="T4" s="82"/>
      <c r="U4" s="82"/>
      <c r="V4" s="85" t="str">
        <f>HYPERLINK("https://pbs.twimg.com/profile_images/1457820769510100996/Ko1Xx1bp_normal.jpg")</f>
        <v>https://pbs.twimg.com/profile_images/1457820769510100996/Ko1Xx1bp_normal.jpg</v>
      </c>
      <c r="W4" s="84">
        <v>44722.462118055555</v>
      </c>
      <c r="X4" s="89">
        <v>44722</v>
      </c>
      <c r="Y4" s="87" t="s">
        <v>540</v>
      </c>
      <c r="Z4" s="85" t="str">
        <f>HYPERLINK("https://twitter.com/nerans1/status/1535216566517784578")</f>
        <v>https://twitter.com/nerans1/status/1535216566517784578</v>
      </c>
      <c r="AA4" s="82"/>
      <c r="AB4" s="82"/>
      <c r="AC4" s="87" t="s">
        <v>729</v>
      </c>
      <c r="AD4" s="82"/>
      <c r="AE4" s="82" t="b">
        <v>0</v>
      </c>
      <c r="AF4" s="82">
        <v>0</v>
      </c>
      <c r="AG4" s="87" t="s">
        <v>957</v>
      </c>
      <c r="AH4" s="82" t="b">
        <v>0</v>
      </c>
      <c r="AI4" s="82" t="s">
        <v>973</v>
      </c>
      <c r="AJ4" s="82"/>
      <c r="AK4" s="87" t="s">
        <v>957</v>
      </c>
      <c r="AL4" s="82" t="b">
        <v>0</v>
      </c>
      <c r="AM4" s="82">
        <v>4</v>
      </c>
      <c r="AN4" s="87" t="s">
        <v>746</v>
      </c>
      <c r="AO4" s="87" t="s">
        <v>976</v>
      </c>
      <c r="AP4" s="82" t="b">
        <v>0</v>
      </c>
      <c r="AQ4" s="87" t="s">
        <v>746</v>
      </c>
      <c r="AR4" s="82" t="s">
        <v>211</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6" t="s">
        <v>249</v>
      </c>
      <c r="B5" s="66" t="s">
        <v>266</v>
      </c>
      <c r="C5" s="67" t="s">
        <v>2139</v>
      </c>
      <c r="D5" s="68">
        <v>3</v>
      </c>
      <c r="E5" s="69" t="s">
        <v>132</v>
      </c>
      <c r="F5" s="70">
        <v>32</v>
      </c>
      <c r="G5" s="67"/>
      <c r="H5" s="71"/>
      <c r="I5" s="72"/>
      <c r="J5" s="72"/>
      <c r="K5" s="35" t="s">
        <v>65</v>
      </c>
      <c r="L5" s="80">
        <v>5</v>
      </c>
      <c r="M5" s="80"/>
      <c r="N5" s="74"/>
      <c r="O5" s="82" t="s">
        <v>330</v>
      </c>
      <c r="P5" s="84">
        <v>44722.462118055555</v>
      </c>
      <c r="Q5" s="82" t="s">
        <v>333</v>
      </c>
      <c r="R5" s="85" t="str">
        <f>HYPERLINK("https://www.northantstelegraph.co.uk/news/people/corby-art-and-music-maverick-bill-drummond-back-with-new-exhibition-3726882")</f>
        <v>https://www.northantstelegraph.co.uk/news/people/corby-art-and-music-maverick-bill-drummond-back-with-new-exhibition-3726882</v>
      </c>
      <c r="S5" s="82" t="s">
        <v>521</v>
      </c>
      <c r="T5" s="82"/>
      <c r="U5" s="82"/>
      <c r="V5" s="85" t="str">
        <f>HYPERLINK("https://pbs.twimg.com/profile_images/1457820769510100996/Ko1Xx1bp_normal.jpg")</f>
        <v>https://pbs.twimg.com/profile_images/1457820769510100996/Ko1Xx1bp_normal.jpg</v>
      </c>
      <c r="W5" s="84">
        <v>44722.462118055555</v>
      </c>
      <c r="X5" s="89">
        <v>44722</v>
      </c>
      <c r="Y5" s="87" t="s">
        <v>540</v>
      </c>
      <c r="Z5" s="85" t="str">
        <f>HYPERLINK("https://twitter.com/nerans1/status/1535216566517784578")</f>
        <v>https://twitter.com/nerans1/status/1535216566517784578</v>
      </c>
      <c r="AA5" s="82"/>
      <c r="AB5" s="82"/>
      <c r="AC5" s="87" t="s">
        <v>729</v>
      </c>
      <c r="AD5" s="82"/>
      <c r="AE5" s="82" t="b">
        <v>0</v>
      </c>
      <c r="AF5" s="82">
        <v>0</v>
      </c>
      <c r="AG5" s="87" t="s">
        <v>957</v>
      </c>
      <c r="AH5" s="82" t="b">
        <v>0</v>
      </c>
      <c r="AI5" s="82" t="s">
        <v>973</v>
      </c>
      <c r="AJ5" s="82"/>
      <c r="AK5" s="87" t="s">
        <v>957</v>
      </c>
      <c r="AL5" s="82" t="b">
        <v>0</v>
      </c>
      <c r="AM5" s="82">
        <v>4</v>
      </c>
      <c r="AN5" s="87" t="s">
        <v>746</v>
      </c>
      <c r="AO5" s="87" t="s">
        <v>976</v>
      </c>
      <c r="AP5" s="82" t="b">
        <v>0</v>
      </c>
      <c r="AQ5" s="87" t="s">
        <v>746</v>
      </c>
      <c r="AR5" s="82" t="s">
        <v>211</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v>1</v>
      </c>
      <c r="BG5" s="50">
        <v>5.555555555555555</v>
      </c>
      <c r="BH5" s="49">
        <v>0</v>
      </c>
      <c r="BI5" s="50">
        <v>0</v>
      </c>
      <c r="BJ5" s="49">
        <v>0</v>
      </c>
      <c r="BK5" s="50">
        <v>0</v>
      </c>
      <c r="BL5" s="49">
        <v>17</v>
      </c>
      <c r="BM5" s="50">
        <v>94.44444444444444</v>
      </c>
      <c r="BN5" s="49">
        <v>18</v>
      </c>
    </row>
    <row r="6" spans="1:66" ht="15">
      <c r="A6" s="66" t="s">
        <v>250</v>
      </c>
      <c r="B6" s="66" t="s">
        <v>265</v>
      </c>
      <c r="C6" s="67" t="s">
        <v>2139</v>
      </c>
      <c r="D6" s="68">
        <v>3</v>
      </c>
      <c r="E6" s="69" t="s">
        <v>132</v>
      </c>
      <c r="F6" s="70">
        <v>32</v>
      </c>
      <c r="G6" s="67"/>
      <c r="H6" s="71"/>
      <c r="I6" s="72"/>
      <c r="J6" s="72"/>
      <c r="K6" s="35" t="s">
        <v>65</v>
      </c>
      <c r="L6" s="80">
        <v>6</v>
      </c>
      <c r="M6" s="80"/>
      <c r="N6" s="74"/>
      <c r="O6" s="82" t="s">
        <v>329</v>
      </c>
      <c r="P6" s="84">
        <v>44722.47009259259</v>
      </c>
      <c r="Q6" s="82" t="s">
        <v>333</v>
      </c>
      <c r="R6" s="85" t="str">
        <f>HYPERLINK("https://www.northantstelegraph.co.uk/news/people/corby-art-and-music-maverick-bill-drummond-back-with-new-exhibition-3726882")</f>
        <v>https://www.northantstelegraph.co.uk/news/people/corby-art-and-music-maverick-bill-drummond-back-with-new-exhibition-3726882</v>
      </c>
      <c r="S6" s="82" t="s">
        <v>521</v>
      </c>
      <c r="T6" s="82"/>
      <c r="U6" s="82"/>
      <c r="V6" s="85" t="str">
        <f>HYPERLINK("https://pbs.twimg.com/profile_images/1387378835797196805/6badj51q_normal.jpg")</f>
        <v>https://pbs.twimg.com/profile_images/1387378835797196805/6badj51q_normal.jpg</v>
      </c>
      <c r="W6" s="84">
        <v>44722.47009259259</v>
      </c>
      <c r="X6" s="89">
        <v>44722</v>
      </c>
      <c r="Y6" s="87" t="s">
        <v>541</v>
      </c>
      <c r="Z6" s="85" t="str">
        <f>HYPERLINK("https://twitter.com/rikkialexander/status/1535219457056030727")</f>
        <v>https://twitter.com/rikkialexander/status/1535219457056030727</v>
      </c>
      <c r="AA6" s="82"/>
      <c r="AB6" s="82"/>
      <c r="AC6" s="87" t="s">
        <v>730</v>
      </c>
      <c r="AD6" s="82"/>
      <c r="AE6" s="82" t="b">
        <v>0</v>
      </c>
      <c r="AF6" s="82">
        <v>0</v>
      </c>
      <c r="AG6" s="87" t="s">
        <v>957</v>
      </c>
      <c r="AH6" s="82" t="b">
        <v>0</v>
      </c>
      <c r="AI6" s="82" t="s">
        <v>973</v>
      </c>
      <c r="AJ6" s="82"/>
      <c r="AK6" s="87" t="s">
        <v>957</v>
      </c>
      <c r="AL6" s="82" t="b">
        <v>0</v>
      </c>
      <c r="AM6" s="82">
        <v>4</v>
      </c>
      <c r="AN6" s="87" t="s">
        <v>746</v>
      </c>
      <c r="AO6" s="87" t="s">
        <v>976</v>
      </c>
      <c r="AP6" s="82" t="b">
        <v>0</v>
      </c>
      <c r="AQ6" s="87" t="s">
        <v>746</v>
      </c>
      <c r="AR6" s="82" t="s">
        <v>211</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c r="BG6" s="50"/>
      <c r="BH6" s="49"/>
      <c r="BI6" s="50"/>
      <c r="BJ6" s="49"/>
      <c r="BK6" s="50"/>
      <c r="BL6" s="49"/>
      <c r="BM6" s="50"/>
      <c r="BN6" s="49"/>
    </row>
    <row r="7" spans="1:66" ht="15">
      <c r="A7" s="66" t="s">
        <v>250</v>
      </c>
      <c r="B7" s="66" t="s">
        <v>266</v>
      </c>
      <c r="C7" s="67" t="s">
        <v>2139</v>
      </c>
      <c r="D7" s="68">
        <v>3</v>
      </c>
      <c r="E7" s="69" t="s">
        <v>132</v>
      </c>
      <c r="F7" s="70">
        <v>32</v>
      </c>
      <c r="G7" s="67"/>
      <c r="H7" s="71"/>
      <c r="I7" s="72"/>
      <c r="J7" s="72"/>
      <c r="K7" s="35" t="s">
        <v>65</v>
      </c>
      <c r="L7" s="80">
        <v>7</v>
      </c>
      <c r="M7" s="80"/>
      <c r="N7" s="74"/>
      <c r="O7" s="82" t="s">
        <v>330</v>
      </c>
      <c r="P7" s="84">
        <v>44722.47009259259</v>
      </c>
      <c r="Q7" s="82" t="s">
        <v>333</v>
      </c>
      <c r="R7" s="85" t="str">
        <f>HYPERLINK("https://www.northantstelegraph.co.uk/news/people/corby-art-and-music-maverick-bill-drummond-back-with-new-exhibition-3726882")</f>
        <v>https://www.northantstelegraph.co.uk/news/people/corby-art-and-music-maverick-bill-drummond-back-with-new-exhibition-3726882</v>
      </c>
      <c r="S7" s="82" t="s">
        <v>521</v>
      </c>
      <c r="T7" s="82"/>
      <c r="U7" s="82"/>
      <c r="V7" s="85" t="str">
        <f>HYPERLINK("https://pbs.twimg.com/profile_images/1387378835797196805/6badj51q_normal.jpg")</f>
        <v>https://pbs.twimg.com/profile_images/1387378835797196805/6badj51q_normal.jpg</v>
      </c>
      <c r="W7" s="84">
        <v>44722.47009259259</v>
      </c>
      <c r="X7" s="89">
        <v>44722</v>
      </c>
      <c r="Y7" s="87" t="s">
        <v>541</v>
      </c>
      <c r="Z7" s="85" t="str">
        <f>HYPERLINK("https://twitter.com/rikkialexander/status/1535219457056030727")</f>
        <v>https://twitter.com/rikkialexander/status/1535219457056030727</v>
      </c>
      <c r="AA7" s="82"/>
      <c r="AB7" s="82"/>
      <c r="AC7" s="87" t="s">
        <v>730</v>
      </c>
      <c r="AD7" s="82"/>
      <c r="AE7" s="82" t="b">
        <v>0</v>
      </c>
      <c r="AF7" s="82">
        <v>0</v>
      </c>
      <c r="AG7" s="87" t="s">
        <v>957</v>
      </c>
      <c r="AH7" s="82" t="b">
        <v>0</v>
      </c>
      <c r="AI7" s="82" t="s">
        <v>973</v>
      </c>
      <c r="AJ7" s="82"/>
      <c r="AK7" s="87" t="s">
        <v>957</v>
      </c>
      <c r="AL7" s="82" t="b">
        <v>0</v>
      </c>
      <c r="AM7" s="82">
        <v>4</v>
      </c>
      <c r="AN7" s="87" t="s">
        <v>746</v>
      </c>
      <c r="AO7" s="87" t="s">
        <v>976</v>
      </c>
      <c r="AP7" s="82" t="b">
        <v>0</v>
      </c>
      <c r="AQ7" s="87" t="s">
        <v>746</v>
      </c>
      <c r="AR7" s="82" t="s">
        <v>211</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v>1</v>
      </c>
      <c r="BG7" s="50">
        <v>5.555555555555555</v>
      </c>
      <c r="BH7" s="49">
        <v>0</v>
      </c>
      <c r="BI7" s="50">
        <v>0</v>
      </c>
      <c r="BJ7" s="49">
        <v>0</v>
      </c>
      <c r="BK7" s="50">
        <v>0</v>
      </c>
      <c r="BL7" s="49">
        <v>17</v>
      </c>
      <c r="BM7" s="50">
        <v>94.44444444444444</v>
      </c>
      <c r="BN7" s="49">
        <v>18</v>
      </c>
    </row>
    <row r="8" spans="1:66" ht="15">
      <c r="A8" s="66" t="s">
        <v>251</v>
      </c>
      <c r="B8" s="66" t="s">
        <v>291</v>
      </c>
      <c r="C8" s="67" t="s">
        <v>2139</v>
      </c>
      <c r="D8" s="68">
        <v>3</v>
      </c>
      <c r="E8" s="69" t="s">
        <v>132</v>
      </c>
      <c r="F8" s="70">
        <v>32</v>
      </c>
      <c r="G8" s="67"/>
      <c r="H8" s="71"/>
      <c r="I8" s="72"/>
      <c r="J8" s="72"/>
      <c r="K8" s="35" t="s">
        <v>65</v>
      </c>
      <c r="L8" s="80">
        <v>8</v>
      </c>
      <c r="M8" s="80"/>
      <c r="N8" s="74"/>
      <c r="O8" s="82" t="s">
        <v>330</v>
      </c>
      <c r="P8" s="84">
        <v>44722.72565972222</v>
      </c>
      <c r="Q8" s="82" t="s">
        <v>334</v>
      </c>
      <c r="R8" s="82"/>
      <c r="S8" s="82"/>
      <c r="T8" s="82"/>
      <c r="U8" s="82"/>
      <c r="V8" s="85" t="str">
        <f>HYPERLINK("https://pbs.twimg.com/profile_images/1471496703849086989/5845sWBj_normal.jpg")</f>
        <v>https://pbs.twimg.com/profile_images/1471496703849086989/5845sWBj_normal.jpg</v>
      </c>
      <c r="W8" s="84">
        <v>44722.72565972222</v>
      </c>
      <c r="X8" s="89">
        <v>44722</v>
      </c>
      <c r="Y8" s="87" t="s">
        <v>542</v>
      </c>
      <c r="Z8" s="85" t="str">
        <f>HYPERLINK("https://twitter.com/opusfluke/status/1535312073537863686")</f>
        <v>https://twitter.com/opusfluke/status/1535312073537863686</v>
      </c>
      <c r="AA8" s="82"/>
      <c r="AB8" s="82"/>
      <c r="AC8" s="87" t="s">
        <v>731</v>
      </c>
      <c r="AD8" s="82"/>
      <c r="AE8" s="82" t="b">
        <v>0</v>
      </c>
      <c r="AF8" s="82">
        <v>0</v>
      </c>
      <c r="AG8" s="87" t="s">
        <v>957</v>
      </c>
      <c r="AH8" s="82" t="b">
        <v>0</v>
      </c>
      <c r="AI8" s="82" t="s">
        <v>973</v>
      </c>
      <c r="AJ8" s="82"/>
      <c r="AK8" s="87" t="s">
        <v>957</v>
      </c>
      <c r="AL8" s="82" t="b">
        <v>0</v>
      </c>
      <c r="AM8" s="82">
        <v>1</v>
      </c>
      <c r="AN8" s="87" t="s">
        <v>779</v>
      </c>
      <c r="AO8" s="87" t="s">
        <v>976</v>
      </c>
      <c r="AP8" s="82" t="b">
        <v>0</v>
      </c>
      <c r="AQ8" s="87" t="s">
        <v>779</v>
      </c>
      <c r="AR8" s="82" t="s">
        <v>211</v>
      </c>
      <c r="AS8" s="82">
        <v>0</v>
      </c>
      <c r="AT8" s="82">
        <v>0</v>
      </c>
      <c r="AU8" s="82"/>
      <c r="AV8" s="82"/>
      <c r="AW8" s="82"/>
      <c r="AX8" s="82"/>
      <c r="AY8" s="82"/>
      <c r="AZ8" s="82"/>
      <c r="BA8" s="82"/>
      <c r="BB8" s="82"/>
      <c r="BC8">
        <v>1</v>
      </c>
      <c r="BD8" s="81" t="str">
        <f>REPLACE(INDEX(GroupVertices[Group],MATCH(Edges[[#This Row],[Vertex 1]],GroupVertices[Vertex],0)),1,1,"")</f>
        <v>20</v>
      </c>
      <c r="BE8" s="81" t="str">
        <f>REPLACE(INDEX(GroupVertices[Group],MATCH(Edges[[#This Row],[Vertex 2]],GroupVertices[Vertex],0)),1,1,"")</f>
        <v>20</v>
      </c>
      <c r="BF8" s="49">
        <v>0</v>
      </c>
      <c r="BG8" s="50">
        <v>0</v>
      </c>
      <c r="BH8" s="49">
        <v>1</v>
      </c>
      <c r="BI8" s="50">
        <v>2</v>
      </c>
      <c r="BJ8" s="49">
        <v>0</v>
      </c>
      <c r="BK8" s="50">
        <v>0</v>
      </c>
      <c r="BL8" s="49">
        <v>49</v>
      </c>
      <c r="BM8" s="50">
        <v>98</v>
      </c>
      <c r="BN8" s="49">
        <v>50</v>
      </c>
    </row>
    <row r="9" spans="1:66" ht="15">
      <c r="A9" s="66" t="s">
        <v>252</v>
      </c>
      <c r="B9" s="66" t="s">
        <v>274</v>
      </c>
      <c r="C9" s="67" t="s">
        <v>2139</v>
      </c>
      <c r="D9" s="68">
        <v>3</v>
      </c>
      <c r="E9" s="69" t="s">
        <v>132</v>
      </c>
      <c r="F9" s="70">
        <v>32</v>
      </c>
      <c r="G9" s="67"/>
      <c r="H9" s="71"/>
      <c r="I9" s="72"/>
      <c r="J9" s="72"/>
      <c r="K9" s="35" t="s">
        <v>65</v>
      </c>
      <c r="L9" s="80">
        <v>9</v>
      </c>
      <c r="M9" s="80"/>
      <c r="N9" s="74"/>
      <c r="O9" s="82" t="s">
        <v>329</v>
      </c>
      <c r="P9" s="84">
        <v>44722.7544212963</v>
      </c>
      <c r="Q9" s="82" t="s">
        <v>335</v>
      </c>
      <c r="R9" s="85" t="str">
        <f>HYPERLINK("https://www.caughtbytheriver.net/2022/06/what-remains-rupert-callender-launch-event/")</f>
        <v>https://www.caughtbytheriver.net/2022/06/what-remains-rupert-callender-launch-event/</v>
      </c>
      <c r="S9" s="82" t="s">
        <v>522</v>
      </c>
      <c r="T9" s="82"/>
      <c r="U9" s="85" t="str">
        <f>HYPERLINK("https://pbs.twimg.com/media/FU6OU2PWAAAchwH.jpg")</f>
        <v>https://pbs.twimg.com/media/FU6OU2PWAAAchwH.jpg</v>
      </c>
      <c r="V9" s="85" t="str">
        <f>HYPERLINK("https://pbs.twimg.com/media/FU6OU2PWAAAchwH.jpg")</f>
        <v>https://pbs.twimg.com/media/FU6OU2PWAAAchwH.jpg</v>
      </c>
      <c r="W9" s="84">
        <v>44722.7544212963</v>
      </c>
      <c r="X9" s="89">
        <v>44722</v>
      </c>
      <c r="Y9" s="87" t="s">
        <v>543</v>
      </c>
      <c r="Z9" s="85" t="str">
        <f>HYPERLINK("https://twitter.com/cwezel1/status/1535322497138188292")</f>
        <v>https://twitter.com/cwezel1/status/1535322497138188292</v>
      </c>
      <c r="AA9" s="82"/>
      <c r="AB9" s="82"/>
      <c r="AC9" s="87" t="s">
        <v>732</v>
      </c>
      <c r="AD9" s="82"/>
      <c r="AE9" s="82" t="b">
        <v>0</v>
      </c>
      <c r="AF9" s="82">
        <v>0</v>
      </c>
      <c r="AG9" s="87" t="s">
        <v>957</v>
      </c>
      <c r="AH9" s="82" t="b">
        <v>0</v>
      </c>
      <c r="AI9" s="82" t="s">
        <v>973</v>
      </c>
      <c r="AJ9" s="82"/>
      <c r="AK9" s="87" t="s">
        <v>957</v>
      </c>
      <c r="AL9" s="82" t="b">
        <v>0</v>
      </c>
      <c r="AM9" s="82">
        <v>6</v>
      </c>
      <c r="AN9" s="87" t="s">
        <v>758</v>
      </c>
      <c r="AO9" s="87" t="s">
        <v>977</v>
      </c>
      <c r="AP9" s="82" t="b">
        <v>0</v>
      </c>
      <c r="AQ9" s="87" t="s">
        <v>758</v>
      </c>
      <c r="AR9" s="82" t="s">
        <v>211</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6" t="s">
        <v>252</v>
      </c>
      <c r="B10" s="66" t="s">
        <v>273</v>
      </c>
      <c r="C10" s="67" t="s">
        <v>2139</v>
      </c>
      <c r="D10" s="68">
        <v>3</v>
      </c>
      <c r="E10" s="69" t="s">
        <v>132</v>
      </c>
      <c r="F10" s="70">
        <v>32</v>
      </c>
      <c r="G10" s="67"/>
      <c r="H10" s="71"/>
      <c r="I10" s="72"/>
      <c r="J10" s="72"/>
      <c r="K10" s="35" t="s">
        <v>65</v>
      </c>
      <c r="L10" s="80">
        <v>10</v>
      </c>
      <c r="M10" s="80"/>
      <c r="N10" s="74"/>
      <c r="O10" s="82" t="s">
        <v>329</v>
      </c>
      <c r="P10" s="84">
        <v>44722.7544212963</v>
      </c>
      <c r="Q10" s="82" t="s">
        <v>335</v>
      </c>
      <c r="R10" s="85" t="str">
        <f>HYPERLINK("https://www.caughtbytheriver.net/2022/06/what-remains-rupert-callender-launch-event/")</f>
        <v>https://www.caughtbytheriver.net/2022/06/what-remains-rupert-callender-launch-event/</v>
      </c>
      <c r="S10" s="82" t="s">
        <v>522</v>
      </c>
      <c r="T10" s="82"/>
      <c r="U10" s="85" t="str">
        <f>HYPERLINK("https://pbs.twimg.com/media/FU6OU2PWAAAchwH.jpg")</f>
        <v>https://pbs.twimg.com/media/FU6OU2PWAAAchwH.jpg</v>
      </c>
      <c r="V10" s="85" t="str">
        <f>HYPERLINK("https://pbs.twimg.com/media/FU6OU2PWAAAchwH.jpg")</f>
        <v>https://pbs.twimg.com/media/FU6OU2PWAAAchwH.jpg</v>
      </c>
      <c r="W10" s="84">
        <v>44722.7544212963</v>
      </c>
      <c r="X10" s="89">
        <v>44722</v>
      </c>
      <c r="Y10" s="87" t="s">
        <v>543</v>
      </c>
      <c r="Z10" s="85" t="str">
        <f>HYPERLINK("https://twitter.com/cwezel1/status/1535322497138188292")</f>
        <v>https://twitter.com/cwezel1/status/1535322497138188292</v>
      </c>
      <c r="AA10" s="82"/>
      <c r="AB10" s="82"/>
      <c r="AC10" s="87" t="s">
        <v>732</v>
      </c>
      <c r="AD10" s="82"/>
      <c r="AE10" s="82" t="b">
        <v>0</v>
      </c>
      <c r="AF10" s="82">
        <v>0</v>
      </c>
      <c r="AG10" s="87" t="s">
        <v>957</v>
      </c>
      <c r="AH10" s="82" t="b">
        <v>0</v>
      </c>
      <c r="AI10" s="82" t="s">
        <v>973</v>
      </c>
      <c r="AJ10" s="82"/>
      <c r="AK10" s="87" t="s">
        <v>957</v>
      </c>
      <c r="AL10" s="82" t="b">
        <v>0</v>
      </c>
      <c r="AM10" s="82">
        <v>6</v>
      </c>
      <c r="AN10" s="87" t="s">
        <v>758</v>
      </c>
      <c r="AO10" s="87" t="s">
        <v>977</v>
      </c>
      <c r="AP10" s="82" t="b">
        <v>0</v>
      </c>
      <c r="AQ10" s="87" t="s">
        <v>758</v>
      </c>
      <c r="AR10" s="82" t="s">
        <v>211</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6" t="s">
        <v>252</v>
      </c>
      <c r="B11" s="66" t="s">
        <v>275</v>
      </c>
      <c r="C11" s="67" t="s">
        <v>2139</v>
      </c>
      <c r="D11" s="68">
        <v>3</v>
      </c>
      <c r="E11" s="69" t="s">
        <v>132</v>
      </c>
      <c r="F11" s="70">
        <v>32</v>
      </c>
      <c r="G11" s="67"/>
      <c r="H11" s="71"/>
      <c r="I11" s="72"/>
      <c r="J11" s="72"/>
      <c r="K11" s="35" t="s">
        <v>65</v>
      </c>
      <c r="L11" s="80">
        <v>11</v>
      </c>
      <c r="M11" s="80"/>
      <c r="N11" s="74"/>
      <c r="O11" s="82" t="s">
        <v>330</v>
      </c>
      <c r="P11" s="84">
        <v>44722.7544212963</v>
      </c>
      <c r="Q11" s="82" t="s">
        <v>335</v>
      </c>
      <c r="R11" s="85" t="str">
        <f>HYPERLINK("https://www.caughtbytheriver.net/2022/06/what-remains-rupert-callender-launch-event/")</f>
        <v>https://www.caughtbytheriver.net/2022/06/what-remains-rupert-callender-launch-event/</v>
      </c>
      <c r="S11" s="82" t="s">
        <v>522</v>
      </c>
      <c r="T11" s="82"/>
      <c r="U11" s="85" t="str">
        <f>HYPERLINK("https://pbs.twimg.com/media/FU6OU2PWAAAchwH.jpg")</f>
        <v>https://pbs.twimg.com/media/FU6OU2PWAAAchwH.jpg</v>
      </c>
      <c r="V11" s="85" t="str">
        <f>HYPERLINK("https://pbs.twimg.com/media/FU6OU2PWAAAchwH.jpg")</f>
        <v>https://pbs.twimg.com/media/FU6OU2PWAAAchwH.jpg</v>
      </c>
      <c r="W11" s="84">
        <v>44722.7544212963</v>
      </c>
      <c r="X11" s="89">
        <v>44722</v>
      </c>
      <c r="Y11" s="87" t="s">
        <v>543</v>
      </c>
      <c r="Z11" s="85" t="str">
        <f>HYPERLINK("https://twitter.com/cwezel1/status/1535322497138188292")</f>
        <v>https://twitter.com/cwezel1/status/1535322497138188292</v>
      </c>
      <c r="AA11" s="82"/>
      <c r="AB11" s="82"/>
      <c r="AC11" s="87" t="s">
        <v>732</v>
      </c>
      <c r="AD11" s="82"/>
      <c r="AE11" s="82" t="b">
        <v>0</v>
      </c>
      <c r="AF11" s="82">
        <v>0</v>
      </c>
      <c r="AG11" s="87" t="s">
        <v>957</v>
      </c>
      <c r="AH11" s="82" t="b">
        <v>0</v>
      </c>
      <c r="AI11" s="82" t="s">
        <v>973</v>
      </c>
      <c r="AJ11" s="82"/>
      <c r="AK11" s="87" t="s">
        <v>957</v>
      </c>
      <c r="AL11" s="82" t="b">
        <v>0</v>
      </c>
      <c r="AM11" s="82">
        <v>6</v>
      </c>
      <c r="AN11" s="87" t="s">
        <v>758</v>
      </c>
      <c r="AO11" s="87" t="s">
        <v>977</v>
      </c>
      <c r="AP11" s="82" t="b">
        <v>0</v>
      </c>
      <c r="AQ11" s="87" t="s">
        <v>758</v>
      </c>
      <c r="AR11" s="82" t="s">
        <v>211</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1</v>
      </c>
      <c r="BG11" s="50">
        <v>2.5641025641025643</v>
      </c>
      <c r="BH11" s="49">
        <v>1</v>
      </c>
      <c r="BI11" s="50">
        <v>2.5641025641025643</v>
      </c>
      <c r="BJ11" s="49">
        <v>0</v>
      </c>
      <c r="BK11" s="50">
        <v>0</v>
      </c>
      <c r="BL11" s="49">
        <v>37</v>
      </c>
      <c r="BM11" s="50">
        <v>94.87179487179488</v>
      </c>
      <c r="BN11" s="49">
        <v>39</v>
      </c>
    </row>
    <row r="12" spans="1:66" ht="15">
      <c r="A12" s="66" t="s">
        <v>253</v>
      </c>
      <c r="B12" s="66" t="s">
        <v>274</v>
      </c>
      <c r="C12" s="67" t="s">
        <v>2139</v>
      </c>
      <c r="D12" s="68">
        <v>3</v>
      </c>
      <c r="E12" s="69" t="s">
        <v>132</v>
      </c>
      <c r="F12" s="70">
        <v>32</v>
      </c>
      <c r="G12" s="67"/>
      <c r="H12" s="71"/>
      <c r="I12" s="72"/>
      <c r="J12" s="72"/>
      <c r="K12" s="35" t="s">
        <v>65</v>
      </c>
      <c r="L12" s="80">
        <v>12</v>
      </c>
      <c r="M12" s="80"/>
      <c r="N12" s="74"/>
      <c r="O12" s="82" t="s">
        <v>329</v>
      </c>
      <c r="P12" s="84">
        <v>44722.760787037034</v>
      </c>
      <c r="Q12" s="82" t="s">
        <v>336</v>
      </c>
      <c r="R12" s="85" t="str">
        <f>HYPERLINK("https://twitter.com/tweetbytheriver/status/1535321437795500032")</f>
        <v>https://twitter.com/tweetbytheriver/status/1535321437795500032</v>
      </c>
      <c r="S12" s="82" t="s">
        <v>523</v>
      </c>
      <c r="T12" s="82"/>
      <c r="U12" s="82"/>
      <c r="V12" s="85" t="str">
        <f>HYPERLINK("https://pbs.twimg.com/profile_images/1306641225144037381/gZVgMDar_normal.jpg")</f>
        <v>https://pbs.twimg.com/profile_images/1306641225144037381/gZVgMDar_normal.jpg</v>
      </c>
      <c r="W12" s="84">
        <v>44722.760787037034</v>
      </c>
      <c r="X12" s="89">
        <v>44722</v>
      </c>
      <c r="Y12" s="87" t="s">
        <v>544</v>
      </c>
      <c r="Z12" s="85" t="str">
        <f>HYPERLINK("https://twitter.com/paulduanefilm/status/1535324802466062337")</f>
        <v>https://twitter.com/paulduanefilm/status/1535324802466062337</v>
      </c>
      <c r="AA12" s="82"/>
      <c r="AB12" s="82"/>
      <c r="AC12" s="87" t="s">
        <v>733</v>
      </c>
      <c r="AD12" s="82"/>
      <c r="AE12" s="82" t="b">
        <v>0</v>
      </c>
      <c r="AF12" s="82">
        <v>0</v>
      </c>
      <c r="AG12" s="87" t="s">
        <v>957</v>
      </c>
      <c r="AH12" s="82" t="b">
        <v>1</v>
      </c>
      <c r="AI12" s="82" t="s">
        <v>973</v>
      </c>
      <c r="AJ12" s="82"/>
      <c r="AK12" s="87" t="s">
        <v>758</v>
      </c>
      <c r="AL12" s="82" t="b">
        <v>0</v>
      </c>
      <c r="AM12" s="82">
        <v>6</v>
      </c>
      <c r="AN12" s="87" t="s">
        <v>756</v>
      </c>
      <c r="AO12" s="87" t="s">
        <v>977</v>
      </c>
      <c r="AP12" s="82" t="b">
        <v>0</v>
      </c>
      <c r="AQ12" s="87" t="s">
        <v>756</v>
      </c>
      <c r="AR12" s="82" t="s">
        <v>211</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6" t="s">
        <v>253</v>
      </c>
      <c r="B13" s="66" t="s">
        <v>275</v>
      </c>
      <c r="C13" s="67" t="s">
        <v>2139</v>
      </c>
      <c r="D13" s="68">
        <v>3</v>
      </c>
      <c r="E13" s="69" t="s">
        <v>132</v>
      </c>
      <c r="F13" s="70">
        <v>32</v>
      </c>
      <c r="G13" s="67"/>
      <c r="H13" s="71"/>
      <c r="I13" s="72"/>
      <c r="J13" s="72"/>
      <c r="K13" s="35" t="s">
        <v>65</v>
      </c>
      <c r="L13" s="80">
        <v>13</v>
      </c>
      <c r="M13" s="80"/>
      <c r="N13" s="74"/>
      <c r="O13" s="82" t="s">
        <v>329</v>
      </c>
      <c r="P13" s="84">
        <v>44722.760787037034</v>
      </c>
      <c r="Q13" s="82" t="s">
        <v>336</v>
      </c>
      <c r="R13" s="85" t="str">
        <f>HYPERLINK("https://twitter.com/tweetbytheriver/status/1535321437795500032")</f>
        <v>https://twitter.com/tweetbytheriver/status/1535321437795500032</v>
      </c>
      <c r="S13" s="82" t="s">
        <v>523</v>
      </c>
      <c r="T13" s="82"/>
      <c r="U13" s="82"/>
      <c r="V13" s="85" t="str">
        <f>HYPERLINK("https://pbs.twimg.com/profile_images/1306641225144037381/gZVgMDar_normal.jpg")</f>
        <v>https://pbs.twimg.com/profile_images/1306641225144037381/gZVgMDar_normal.jpg</v>
      </c>
      <c r="W13" s="84">
        <v>44722.760787037034</v>
      </c>
      <c r="X13" s="89">
        <v>44722</v>
      </c>
      <c r="Y13" s="87" t="s">
        <v>544</v>
      </c>
      <c r="Z13" s="85" t="str">
        <f>HYPERLINK("https://twitter.com/paulduanefilm/status/1535324802466062337")</f>
        <v>https://twitter.com/paulduanefilm/status/1535324802466062337</v>
      </c>
      <c r="AA13" s="82"/>
      <c r="AB13" s="82"/>
      <c r="AC13" s="87" t="s">
        <v>733</v>
      </c>
      <c r="AD13" s="82"/>
      <c r="AE13" s="82" t="b">
        <v>0</v>
      </c>
      <c r="AF13" s="82">
        <v>0</v>
      </c>
      <c r="AG13" s="87" t="s">
        <v>957</v>
      </c>
      <c r="AH13" s="82" t="b">
        <v>1</v>
      </c>
      <c r="AI13" s="82" t="s">
        <v>973</v>
      </c>
      <c r="AJ13" s="82"/>
      <c r="AK13" s="87" t="s">
        <v>758</v>
      </c>
      <c r="AL13" s="82" t="b">
        <v>0</v>
      </c>
      <c r="AM13" s="82">
        <v>6</v>
      </c>
      <c r="AN13" s="87" t="s">
        <v>756</v>
      </c>
      <c r="AO13" s="87" t="s">
        <v>977</v>
      </c>
      <c r="AP13" s="82" t="b">
        <v>0</v>
      </c>
      <c r="AQ13" s="87" t="s">
        <v>756</v>
      </c>
      <c r="AR13" s="82" t="s">
        <v>211</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253</v>
      </c>
      <c r="B14" s="66" t="s">
        <v>273</v>
      </c>
      <c r="C14" s="67" t="s">
        <v>2139</v>
      </c>
      <c r="D14" s="68">
        <v>3</v>
      </c>
      <c r="E14" s="69" t="s">
        <v>132</v>
      </c>
      <c r="F14" s="70">
        <v>32</v>
      </c>
      <c r="G14" s="67"/>
      <c r="H14" s="71"/>
      <c r="I14" s="72"/>
      <c r="J14" s="72"/>
      <c r="K14" s="35" t="s">
        <v>65</v>
      </c>
      <c r="L14" s="80">
        <v>14</v>
      </c>
      <c r="M14" s="80"/>
      <c r="N14" s="74"/>
      <c r="O14" s="82" t="s">
        <v>330</v>
      </c>
      <c r="P14" s="84">
        <v>44722.760787037034</v>
      </c>
      <c r="Q14" s="82" t="s">
        <v>336</v>
      </c>
      <c r="R14" s="85" t="str">
        <f>HYPERLINK("https://twitter.com/tweetbytheriver/status/1535321437795500032")</f>
        <v>https://twitter.com/tweetbytheriver/status/1535321437795500032</v>
      </c>
      <c r="S14" s="82" t="s">
        <v>523</v>
      </c>
      <c r="T14" s="82"/>
      <c r="U14" s="82"/>
      <c r="V14" s="85" t="str">
        <f>HYPERLINK("https://pbs.twimg.com/profile_images/1306641225144037381/gZVgMDar_normal.jpg")</f>
        <v>https://pbs.twimg.com/profile_images/1306641225144037381/gZVgMDar_normal.jpg</v>
      </c>
      <c r="W14" s="84">
        <v>44722.760787037034</v>
      </c>
      <c r="X14" s="89">
        <v>44722</v>
      </c>
      <c r="Y14" s="87" t="s">
        <v>544</v>
      </c>
      <c r="Z14" s="85" t="str">
        <f>HYPERLINK("https://twitter.com/paulduanefilm/status/1535324802466062337")</f>
        <v>https://twitter.com/paulduanefilm/status/1535324802466062337</v>
      </c>
      <c r="AA14" s="82"/>
      <c r="AB14" s="82"/>
      <c r="AC14" s="87" t="s">
        <v>733</v>
      </c>
      <c r="AD14" s="82"/>
      <c r="AE14" s="82" t="b">
        <v>0</v>
      </c>
      <c r="AF14" s="82">
        <v>0</v>
      </c>
      <c r="AG14" s="87" t="s">
        <v>957</v>
      </c>
      <c r="AH14" s="82" t="b">
        <v>1</v>
      </c>
      <c r="AI14" s="82" t="s">
        <v>973</v>
      </c>
      <c r="AJ14" s="82"/>
      <c r="AK14" s="87" t="s">
        <v>758</v>
      </c>
      <c r="AL14" s="82" t="b">
        <v>0</v>
      </c>
      <c r="AM14" s="82">
        <v>6</v>
      </c>
      <c r="AN14" s="87" t="s">
        <v>756</v>
      </c>
      <c r="AO14" s="87" t="s">
        <v>977</v>
      </c>
      <c r="AP14" s="82" t="b">
        <v>0</v>
      </c>
      <c r="AQ14" s="87" t="s">
        <v>756</v>
      </c>
      <c r="AR14" s="82" t="s">
        <v>211</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3</v>
      </c>
      <c r="BG14" s="50">
        <v>17.647058823529413</v>
      </c>
      <c r="BH14" s="49">
        <v>0</v>
      </c>
      <c r="BI14" s="50">
        <v>0</v>
      </c>
      <c r="BJ14" s="49">
        <v>0</v>
      </c>
      <c r="BK14" s="50">
        <v>0</v>
      </c>
      <c r="BL14" s="49">
        <v>14</v>
      </c>
      <c r="BM14" s="50">
        <v>82.3529411764706</v>
      </c>
      <c r="BN14" s="49">
        <v>17</v>
      </c>
    </row>
    <row r="15" spans="1:66" ht="15">
      <c r="A15" s="66" t="s">
        <v>254</v>
      </c>
      <c r="B15" s="66" t="s">
        <v>274</v>
      </c>
      <c r="C15" s="67" t="s">
        <v>2139</v>
      </c>
      <c r="D15" s="68">
        <v>3</v>
      </c>
      <c r="E15" s="69" t="s">
        <v>132</v>
      </c>
      <c r="F15" s="70">
        <v>32</v>
      </c>
      <c r="G15" s="67"/>
      <c r="H15" s="71"/>
      <c r="I15" s="72"/>
      <c r="J15" s="72"/>
      <c r="K15" s="35" t="s">
        <v>65</v>
      </c>
      <c r="L15" s="80">
        <v>15</v>
      </c>
      <c r="M15" s="80"/>
      <c r="N15" s="74"/>
      <c r="O15" s="82" t="s">
        <v>331</v>
      </c>
      <c r="P15" s="84">
        <v>44722.76762731482</v>
      </c>
      <c r="Q15" s="82" t="s">
        <v>337</v>
      </c>
      <c r="R15" s="85" t="str">
        <f>HYPERLINK("https://twitter.com/tweetbytheriver/status/1535321437795500032")</f>
        <v>https://twitter.com/tweetbytheriver/status/1535321437795500032</v>
      </c>
      <c r="S15" s="82" t="s">
        <v>523</v>
      </c>
      <c r="T15" s="82"/>
      <c r="U15" s="82"/>
      <c r="V15" s="85" t="str">
        <f>HYPERLINK("https://pbs.twimg.com/profile_images/318540325/grasshopper_trans_normal.png")</f>
        <v>https://pbs.twimg.com/profile_images/318540325/grasshopper_trans_normal.png</v>
      </c>
      <c r="W15" s="84">
        <v>44722.76762731482</v>
      </c>
      <c r="X15" s="89">
        <v>44722</v>
      </c>
      <c r="Y15" s="87" t="s">
        <v>545</v>
      </c>
      <c r="Z15" s="85" t="str">
        <f>HYPERLINK("https://twitter.com/chelseagreen/status/1535327280544743429")</f>
        <v>https://twitter.com/chelseagreen/status/1535327280544743429</v>
      </c>
      <c r="AA15" s="82"/>
      <c r="AB15" s="82"/>
      <c r="AC15" s="87" t="s">
        <v>734</v>
      </c>
      <c r="AD15" s="82"/>
      <c r="AE15" s="82" t="b">
        <v>0</v>
      </c>
      <c r="AF15" s="82">
        <v>1</v>
      </c>
      <c r="AG15" s="87" t="s">
        <v>957</v>
      </c>
      <c r="AH15" s="82" t="b">
        <v>1</v>
      </c>
      <c r="AI15" s="82" t="s">
        <v>973</v>
      </c>
      <c r="AJ15" s="82"/>
      <c r="AK15" s="87" t="s">
        <v>758</v>
      </c>
      <c r="AL15" s="82" t="b">
        <v>0</v>
      </c>
      <c r="AM15" s="82">
        <v>0</v>
      </c>
      <c r="AN15" s="87" t="s">
        <v>957</v>
      </c>
      <c r="AO15" s="87" t="s">
        <v>978</v>
      </c>
      <c r="AP15" s="82" t="b">
        <v>0</v>
      </c>
      <c r="AQ15" s="87" t="s">
        <v>734</v>
      </c>
      <c r="AR15" s="82" t="s">
        <v>211</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6" t="s">
        <v>254</v>
      </c>
      <c r="B16" s="66" t="s">
        <v>273</v>
      </c>
      <c r="C16" s="67" t="s">
        <v>2139</v>
      </c>
      <c r="D16" s="68">
        <v>3</v>
      </c>
      <c r="E16" s="69" t="s">
        <v>132</v>
      </c>
      <c r="F16" s="70">
        <v>32</v>
      </c>
      <c r="G16" s="67"/>
      <c r="H16" s="71"/>
      <c r="I16" s="72"/>
      <c r="J16" s="72"/>
      <c r="K16" s="35" t="s">
        <v>65</v>
      </c>
      <c r="L16" s="80">
        <v>16</v>
      </c>
      <c r="M16" s="80"/>
      <c r="N16" s="74"/>
      <c r="O16" s="82" t="s">
        <v>331</v>
      </c>
      <c r="P16" s="84">
        <v>44722.76762731482</v>
      </c>
      <c r="Q16" s="82" t="s">
        <v>337</v>
      </c>
      <c r="R16" s="85" t="str">
        <f>HYPERLINK("https://twitter.com/tweetbytheriver/status/1535321437795500032")</f>
        <v>https://twitter.com/tweetbytheriver/status/1535321437795500032</v>
      </c>
      <c r="S16" s="82" t="s">
        <v>523</v>
      </c>
      <c r="T16" s="82"/>
      <c r="U16" s="82"/>
      <c r="V16" s="85" t="str">
        <f>HYPERLINK("https://pbs.twimg.com/profile_images/318540325/grasshopper_trans_normal.png")</f>
        <v>https://pbs.twimg.com/profile_images/318540325/grasshopper_trans_normal.png</v>
      </c>
      <c r="W16" s="84">
        <v>44722.76762731482</v>
      </c>
      <c r="X16" s="89">
        <v>44722</v>
      </c>
      <c r="Y16" s="87" t="s">
        <v>545</v>
      </c>
      <c r="Z16" s="85" t="str">
        <f>HYPERLINK("https://twitter.com/chelseagreen/status/1535327280544743429")</f>
        <v>https://twitter.com/chelseagreen/status/1535327280544743429</v>
      </c>
      <c r="AA16" s="82"/>
      <c r="AB16" s="82"/>
      <c r="AC16" s="87" t="s">
        <v>734</v>
      </c>
      <c r="AD16" s="82"/>
      <c r="AE16" s="82" t="b">
        <v>0</v>
      </c>
      <c r="AF16" s="82">
        <v>1</v>
      </c>
      <c r="AG16" s="87" t="s">
        <v>957</v>
      </c>
      <c r="AH16" s="82" t="b">
        <v>1</v>
      </c>
      <c r="AI16" s="82" t="s">
        <v>973</v>
      </c>
      <c r="AJ16" s="82"/>
      <c r="AK16" s="87" t="s">
        <v>758</v>
      </c>
      <c r="AL16" s="82" t="b">
        <v>0</v>
      </c>
      <c r="AM16" s="82">
        <v>0</v>
      </c>
      <c r="AN16" s="87" t="s">
        <v>957</v>
      </c>
      <c r="AO16" s="87" t="s">
        <v>978</v>
      </c>
      <c r="AP16" s="82" t="b">
        <v>0</v>
      </c>
      <c r="AQ16" s="87" t="s">
        <v>734</v>
      </c>
      <c r="AR16" s="82" t="s">
        <v>211</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2</v>
      </c>
      <c r="BG16" s="50">
        <v>5.714285714285714</v>
      </c>
      <c r="BH16" s="49">
        <v>1</v>
      </c>
      <c r="BI16" s="50">
        <v>2.857142857142857</v>
      </c>
      <c r="BJ16" s="49">
        <v>0</v>
      </c>
      <c r="BK16" s="50">
        <v>0</v>
      </c>
      <c r="BL16" s="49">
        <v>32</v>
      </c>
      <c r="BM16" s="50">
        <v>91.42857142857143</v>
      </c>
      <c r="BN16" s="49">
        <v>35</v>
      </c>
    </row>
    <row r="17" spans="1:66" ht="15">
      <c r="A17" s="66" t="s">
        <v>255</v>
      </c>
      <c r="B17" s="66" t="s">
        <v>274</v>
      </c>
      <c r="C17" s="67" t="s">
        <v>2139</v>
      </c>
      <c r="D17" s="68">
        <v>3</v>
      </c>
      <c r="E17" s="69" t="s">
        <v>132</v>
      </c>
      <c r="F17" s="70">
        <v>32</v>
      </c>
      <c r="G17" s="67"/>
      <c r="H17" s="71"/>
      <c r="I17" s="72"/>
      <c r="J17" s="72"/>
      <c r="K17" s="35" t="s">
        <v>65</v>
      </c>
      <c r="L17" s="80">
        <v>17</v>
      </c>
      <c r="M17" s="80"/>
      <c r="N17" s="74"/>
      <c r="O17" s="82" t="s">
        <v>329</v>
      </c>
      <c r="P17" s="84">
        <v>44722.79310185185</v>
      </c>
      <c r="Q17" s="82" t="s">
        <v>335</v>
      </c>
      <c r="R17" s="85" t="str">
        <f>HYPERLINK("https://www.caughtbytheriver.net/2022/06/what-remains-rupert-callender-launch-event/")</f>
        <v>https://www.caughtbytheriver.net/2022/06/what-remains-rupert-callender-launch-event/</v>
      </c>
      <c r="S17" s="82" t="s">
        <v>522</v>
      </c>
      <c r="T17" s="82"/>
      <c r="U17" s="85" t="str">
        <f>HYPERLINK("https://pbs.twimg.com/media/FU6OU2PWAAAchwH.jpg")</f>
        <v>https://pbs.twimg.com/media/FU6OU2PWAAAchwH.jpg</v>
      </c>
      <c r="V17" s="85" t="str">
        <f>HYPERLINK("https://pbs.twimg.com/media/FU6OU2PWAAAchwH.jpg")</f>
        <v>https://pbs.twimg.com/media/FU6OU2PWAAAchwH.jpg</v>
      </c>
      <c r="W17" s="84">
        <v>44722.79310185185</v>
      </c>
      <c r="X17" s="89">
        <v>44722</v>
      </c>
      <c r="Y17" s="87" t="s">
        <v>546</v>
      </c>
      <c r="Z17" s="85" t="str">
        <f>HYPERLINK("https://twitter.com/zloom/status/1535336512518250498")</f>
        <v>https://twitter.com/zloom/status/1535336512518250498</v>
      </c>
      <c r="AA17" s="82"/>
      <c r="AB17" s="82"/>
      <c r="AC17" s="87" t="s">
        <v>735</v>
      </c>
      <c r="AD17" s="82"/>
      <c r="AE17" s="82" t="b">
        <v>0</v>
      </c>
      <c r="AF17" s="82">
        <v>0</v>
      </c>
      <c r="AG17" s="87" t="s">
        <v>957</v>
      </c>
      <c r="AH17" s="82" t="b">
        <v>0</v>
      </c>
      <c r="AI17" s="82" t="s">
        <v>973</v>
      </c>
      <c r="AJ17" s="82"/>
      <c r="AK17" s="87" t="s">
        <v>957</v>
      </c>
      <c r="AL17" s="82" t="b">
        <v>0</v>
      </c>
      <c r="AM17" s="82">
        <v>6</v>
      </c>
      <c r="AN17" s="87" t="s">
        <v>758</v>
      </c>
      <c r="AO17" s="87" t="s">
        <v>977</v>
      </c>
      <c r="AP17" s="82" t="b">
        <v>0</v>
      </c>
      <c r="AQ17" s="87" t="s">
        <v>758</v>
      </c>
      <c r="AR17" s="82" t="s">
        <v>211</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6" t="s">
        <v>255</v>
      </c>
      <c r="B18" s="66" t="s">
        <v>273</v>
      </c>
      <c r="C18" s="67" t="s">
        <v>2139</v>
      </c>
      <c r="D18" s="68">
        <v>3</v>
      </c>
      <c r="E18" s="69" t="s">
        <v>132</v>
      </c>
      <c r="F18" s="70">
        <v>32</v>
      </c>
      <c r="G18" s="67"/>
      <c r="H18" s="71"/>
      <c r="I18" s="72"/>
      <c r="J18" s="72"/>
      <c r="K18" s="35" t="s">
        <v>65</v>
      </c>
      <c r="L18" s="80">
        <v>18</v>
      </c>
      <c r="M18" s="80"/>
      <c r="N18" s="74"/>
      <c r="O18" s="82" t="s">
        <v>329</v>
      </c>
      <c r="P18" s="84">
        <v>44722.79310185185</v>
      </c>
      <c r="Q18" s="82" t="s">
        <v>335</v>
      </c>
      <c r="R18" s="85" t="str">
        <f>HYPERLINK("https://www.caughtbytheriver.net/2022/06/what-remains-rupert-callender-launch-event/")</f>
        <v>https://www.caughtbytheriver.net/2022/06/what-remains-rupert-callender-launch-event/</v>
      </c>
      <c r="S18" s="82" t="s">
        <v>522</v>
      </c>
      <c r="T18" s="82"/>
      <c r="U18" s="85" t="str">
        <f>HYPERLINK("https://pbs.twimg.com/media/FU6OU2PWAAAchwH.jpg")</f>
        <v>https://pbs.twimg.com/media/FU6OU2PWAAAchwH.jpg</v>
      </c>
      <c r="V18" s="85" t="str">
        <f>HYPERLINK("https://pbs.twimg.com/media/FU6OU2PWAAAchwH.jpg")</f>
        <v>https://pbs.twimg.com/media/FU6OU2PWAAAchwH.jpg</v>
      </c>
      <c r="W18" s="84">
        <v>44722.79310185185</v>
      </c>
      <c r="X18" s="89">
        <v>44722</v>
      </c>
      <c r="Y18" s="87" t="s">
        <v>546</v>
      </c>
      <c r="Z18" s="85" t="str">
        <f>HYPERLINK("https://twitter.com/zloom/status/1535336512518250498")</f>
        <v>https://twitter.com/zloom/status/1535336512518250498</v>
      </c>
      <c r="AA18" s="82"/>
      <c r="AB18" s="82"/>
      <c r="AC18" s="87" t="s">
        <v>735</v>
      </c>
      <c r="AD18" s="82"/>
      <c r="AE18" s="82" t="b">
        <v>0</v>
      </c>
      <c r="AF18" s="82">
        <v>0</v>
      </c>
      <c r="AG18" s="87" t="s">
        <v>957</v>
      </c>
      <c r="AH18" s="82" t="b">
        <v>0</v>
      </c>
      <c r="AI18" s="82" t="s">
        <v>973</v>
      </c>
      <c r="AJ18" s="82"/>
      <c r="AK18" s="87" t="s">
        <v>957</v>
      </c>
      <c r="AL18" s="82" t="b">
        <v>0</v>
      </c>
      <c r="AM18" s="82">
        <v>6</v>
      </c>
      <c r="AN18" s="87" t="s">
        <v>758</v>
      </c>
      <c r="AO18" s="87" t="s">
        <v>977</v>
      </c>
      <c r="AP18" s="82" t="b">
        <v>0</v>
      </c>
      <c r="AQ18" s="87" t="s">
        <v>758</v>
      </c>
      <c r="AR18" s="82" t="s">
        <v>211</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6" t="s">
        <v>255</v>
      </c>
      <c r="B19" s="66" t="s">
        <v>275</v>
      </c>
      <c r="C19" s="67" t="s">
        <v>2139</v>
      </c>
      <c r="D19" s="68">
        <v>3</v>
      </c>
      <c r="E19" s="69" t="s">
        <v>132</v>
      </c>
      <c r="F19" s="70">
        <v>32</v>
      </c>
      <c r="G19" s="67"/>
      <c r="H19" s="71"/>
      <c r="I19" s="72"/>
      <c r="J19" s="72"/>
      <c r="K19" s="35" t="s">
        <v>65</v>
      </c>
      <c r="L19" s="80">
        <v>19</v>
      </c>
      <c r="M19" s="80"/>
      <c r="N19" s="74"/>
      <c r="O19" s="82" t="s">
        <v>330</v>
      </c>
      <c r="P19" s="84">
        <v>44722.79310185185</v>
      </c>
      <c r="Q19" s="82" t="s">
        <v>335</v>
      </c>
      <c r="R19" s="85" t="str">
        <f>HYPERLINK("https://www.caughtbytheriver.net/2022/06/what-remains-rupert-callender-launch-event/")</f>
        <v>https://www.caughtbytheriver.net/2022/06/what-remains-rupert-callender-launch-event/</v>
      </c>
      <c r="S19" s="82" t="s">
        <v>522</v>
      </c>
      <c r="T19" s="82"/>
      <c r="U19" s="85" t="str">
        <f>HYPERLINK("https://pbs.twimg.com/media/FU6OU2PWAAAchwH.jpg")</f>
        <v>https://pbs.twimg.com/media/FU6OU2PWAAAchwH.jpg</v>
      </c>
      <c r="V19" s="85" t="str">
        <f>HYPERLINK("https://pbs.twimg.com/media/FU6OU2PWAAAchwH.jpg")</f>
        <v>https://pbs.twimg.com/media/FU6OU2PWAAAchwH.jpg</v>
      </c>
      <c r="W19" s="84">
        <v>44722.79310185185</v>
      </c>
      <c r="X19" s="89">
        <v>44722</v>
      </c>
      <c r="Y19" s="87" t="s">
        <v>546</v>
      </c>
      <c r="Z19" s="85" t="str">
        <f>HYPERLINK("https://twitter.com/zloom/status/1535336512518250498")</f>
        <v>https://twitter.com/zloom/status/1535336512518250498</v>
      </c>
      <c r="AA19" s="82"/>
      <c r="AB19" s="82"/>
      <c r="AC19" s="87" t="s">
        <v>735</v>
      </c>
      <c r="AD19" s="82"/>
      <c r="AE19" s="82" t="b">
        <v>0</v>
      </c>
      <c r="AF19" s="82">
        <v>0</v>
      </c>
      <c r="AG19" s="87" t="s">
        <v>957</v>
      </c>
      <c r="AH19" s="82" t="b">
        <v>0</v>
      </c>
      <c r="AI19" s="82" t="s">
        <v>973</v>
      </c>
      <c r="AJ19" s="82"/>
      <c r="AK19" s="87" t="s">
        <v>957</v>
      </c>
      <c r="AL19" s="82" t="b">
        <v>0</v>
      </c>
      <c r="AM19" s="82">
        <v>6</v>
      </c>
      <c r="AN19" s="87" t="s">
        <v>758</v>
      </c>
      <c r="AO19" s="87" t="s">
        <v>977</v>
      </c>
      <c r="AP19" s="82" t="b">
        <v>0</v>
      </c>
      <c r="AQ19" s="87" t="s">
        <v>758</v>
      </c>
      <c r="AR19" s="82" t="s">
        <v>211</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2.5641025641025643</v>
      </c>
      <c r="BH19" s="49">
        <v>1</v>
      </c>
      <c r="BI19" s="50">
        <v>2.5641025641025643</v>
      </c>
      <c r="BJ19" s="49">
        <v>0</v>
      </c>
      <c r="BK19" s="50">
        <v>0</v>
      </c>
      <c r="BL19" s="49">
        <v>37</v>
      </c>
      <c r="BM19" s="50">
        <v>94.87179487179488</v>
      </c>
      <c r="BN19" s="49">
        <v>39</v>
      </c>
    </row>
    <row r="20" spans="1:66" ht="15">
      <c r="A20" s="66" t="s">
        <v>256</v>
      </c>
      <c r="B20" s="66" t="s">
        <v>274</v>
      </c>
      <c r="C20" s="67" t="s">
        <v>2139</v>
      </c>
      <c r="D20" s="68">
        <v>3</v>
      </c>
      <c r="E20" s="69" t="s">
        <v>132</v>
      </c>
      <c r="F20" s="70">
        <v>32</v>
      </c>
      <c r="G20" s="67"/>
      <c r="H20" s="71"/>
      <c r="I20" s="72"/>
      <c r="J20" s="72"/>
      <c r="K20" s="35" t="s">
        <v>65</v>
      </c>
      <c r="L20" s="80">
        <v>20</v>
      </c>
      <c r="M20" s="80"/>
      <c r="N20" s="74"/>
      <c r="O20" s="82" t="s">
        <v>329</v>
      </c>
      <c r="P20" s="84">
        <v>44722.79335648148</v>
      </c>
      <c r="Q20" s="82" t="s">
        <v>336</v>
      </c>
      <c r="R20" s="85" t="str">
        <f>HYPERLINK("https://twitter.com/tweetbytheriver/status/1535321437795500032")</f>
        <v>https://twitter.com/tweetbytheriver/status/1535321437795500032</v>
      </c>
      <c r="S20" s="82" t="s">
        <v>523</v>
      </c>
      <c r="T20" s="82"/>
      <c r="U20" s="82"/>
      <c r="V20" s="85" t="str">
        <f>HYPERLINK("https://pbs.twimg.com/profile_images/1484165682698899457/aHZ3RT8b_normal.jpg")</f>
        <v>https://pbs.twimg.com/profile_images/1484165682698899457/aHZ3RT8b_normal.jpg</v>
      </c>
      <c r="W20" s="84">
        <v>44722.79335648148</v>
      </c>
      <c r="X20" s="89">
        <v>44722</v>
      </c>
      <c r="Y20" s="87" t="s">
        <v>547</v>
      </c>
      <c r="Z20" s="85" t="str">
        <f>HYPERLINK("https://twitter.com/anastasiatl/status/1535336604046442502")</f>
        <v>https://twitter.com/anastasiatl/status/1535336604046442502</v>
      </c>
      <c r="AA20" s="82"/>
      <c r="AB20" s="82"/>
      <c r="AC20" s="87" t="s">
        <v>736</v>
      </c>
      <c r="AD20" s="82"/>
      <c r="AE20" s="82" t="b">
        <v>0</v>
      </c>
      <c r="AF20" s="82">
        <v>0</v>
      </c>
      <c r="AG20" s="87" t="s">
        <v>957</v>
      </c>
      <c r="AH20" s="82" t="b">
        <v>1</v>
      </c>
      <c r="AI20" s="82" t="s">
        <v>973</v>
      </c>
      <c r="AJ20" s="82"/>
      <c r="AK20" s="87" t="s">
        <v>758</v>
      </c>
      <c r="AL20" s="82" t="b">
        <v>0</v>
      </c>
      <c r="AM20" s="82">
        <v>6</v>
      </c>
      <c r="AN20" s="87" t="s">
        <v>756</v>
      </c>
      <c r="AO20" s="87" t="s">
        <v>977</v>
      </c>
      <c r="AP20" s="82" t="b">
        <v>0</v>
      </c>
      <c r="AQ20" s="87" t="s">
        <v>756</v>
      </c>
      <c r="AR20" s="82" t="s">
        <v>211</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6" t="s">
        <v>256</v>
      </c>
      <c r="B21" s="66" t="s">
        <v>275</v>
      </c>
      <c r="C21" s="67" t="s">
        <v>2139</v>
      </c>
      <c r="D21" s="68">
        <v>3</v>
      </c>
      <c r="E21" s="69" t="s">
        <v>132</v>
      </c>
      <c r="F21" s="70">
        <v>32</v>
      </c>
      <c r="G21" s="67"/>
      <c r="H21" s="71"/>
      <c r="I21" s="72"/>
      <c r="J21" s="72"/>
      <c r="K21" s="35" t="s">
        <v>65</v>
      </c>
      <c r="L21" s="80">
        <v>21</v>
      </c>
      <c r="M21" s="80"/>
      <c r="N21" s="74"/>
      <c r="O21" s="82" t="s">
        <v>329</v>
      </c>
      <c r="P21" s="84">
        <v>44722.79335648148</v>
      </c>
      <c r="Q21" s="82" t="s">
        <v>336</v>
      </c>
      <c r="R21" s="85" t="str">
        <f>HYPERLINK("https://twitter.com/tweetbytheriver/status/1535321437795500032")</f>
        <v>https://twitter.com/tweetbytheriver/status/1535321437795500032</v>
      </c>
      <c r="S21" s="82" t="s">
        <v>523</v>
      </c>
      <c r="T21" s="82"/>
      <c r="U21" s="82"/>
      <c r="V21" s="85" t="str">
        <f>HYPERLINK("https://pbs.twimg.com/profile_images/1484165682698899457/aHZ3RT8b_normal.jpg")</f>
        <v>https://pbs.twimg.com/profile_images/1484165682698899457/aHZ3RT8b_normal.jpg</v>
      </c>
      <c r="W21" s="84">
        <v>44722.79335648148</v>
      </c>
      <c r="X21" s="89">
        <v>44722</v>
      </c>
      <c r="Y21" s="87" t="s">
        <v>547</v>
      </c>
      <c r="Z21" s="85" t="str">
        <f>HYPERLINK("https://twitter.com/anastasiatl/status/1535336604046442502")</f>
        <v>https://twitter.com/anastasiatl/status/1535336604046442502</v>
      </c>
      <c r="AA21" s="82"/>
      <c r="AB21" s="82"/>
      <c r="AC21" s="87" t="s">
        <v>736</v>
      </c>
      <c r="AD21" s="82"/>
      <c r="AE21" s="82" t="b">
        <v>0</v>
      </c>
      <c r="AF21" s="82">
        <v>0</v>
      </c>
      <c r="AG21" s="87" t="s">
        <v>957</v>
      </c>
      <c r="AH21" s="82" t="b">
        <v>1</v>
      </c>
      <c r="AI21" s="82" t="s">
        <v>973</v>
      </c>
      <c r="AJ21" s="82"/>
      <c r="AK21" s="87" t="s">
        <v>758</v>
      </c>
      <c r="AL21" s="82" t="b">
        <v>0</v>
      </c>
      <c r="AM21" s="82">
        <v>6</v>
      </c>
      <c r="AN21" s="87" t="s">
        <v>756</v>
      </c>
      <c r="AO21" s="87" t="s">
        <v>977</v>
      </c>
      <c r="AP21" s="82" t="b">
        <v>0</v>
      </c>
      <c r="AQ21" s="87" t="s">
        <v>756</v>
      </c>
      <c r="AR21" s="82" t="s">
        <v>211</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6" t="s">
        <v>256</v>
      </c>
      <c r="B22" s="66" t="s">
        <v>273</v>
      </c>
      <c r="C22" s="67" t="s">
        <v>2139</v>
      </c>
      <c r="D22" s="68">
        <v>3</v>
      </c>
      <c r="E22" s="69" t="s">
        <v>132</v>
      </c>
      <c r="F22" s="70">
        <v>32</v>
      </c>
      <c r="G22" s="67"/>
      <c r="H22" s="71"/>
      <c r="I22" s="72"/>
      <c r="J22" s="72"/>
      <c r="K22" s="35" t="s">
        <v>65</v>
      </c>
      <c r="L22" s="80">
        <v>22</v>
      </c>
      <c r="M22" s="80"/>
      <c r="N22" s="74"/>
      <c r="O22" s="82" t="s">
        <v>330</v>
      </c>
      <c r="P22" s="84">
        <v>44722.79335648148</v>
      </c>
      <c r="Q22" s="82" t="s">
        <v>336</v>
      </c>
      <c r="R22" s="85" t="str">
        <f>HYPERLINK("https://twitter.com/tweetbytheriver/status/1535321437795500032")</f>
        <v>https://twitter.com/tweetbytheriver/status/1535321437795500032</v>
      </c>
      <c r="S22" s="82" t="s">
        <v>523</v>
      </c>
      <c r="T22" s="82"/>
      <c r="U22" s="82"/>
      <c r="V22" s="85" t="str">
        <f>HYPERLINK("https://pbs.twimg.com/profile_images/1484165682698899457/aHZ3RT8b_normal.jpg")</f>
        <v>https://pbs.twimg.com/profile_images/1484165682698899457/aHZ3RT8b_normal.jpg</v>
      </c>
      <c r="W22" s="84">
        <v>44722.79335648148</v>
      </c>
      <c r="X22" s="89">
        <v>44722</v>
      </c>
      <c r="Y22" s="87" t="s">
        <v>547</v>
      </c>
      <c r="Z22" s="85" t="str">
        <f>HYPERLINK("https://twitter.com/anastasiatl/status/1535336604046442502")</f>
        <v>https://twitter.com/anastasiatl/status/1535336604046442502</v>
      </c>
      <c r="AA22" s="82"/>
      <c r="AB22" s="82"/>
      <c r="AC22" s="87" t="s">
        <v>736</v>
      </c>
      <c r="AD22" s="82"/>
      <c r="AE22" s="82" t="b">
        <v>0</v>
      </c>
      <c r="AF22" s="82">
        <v>0</v>
      </c>
      <c r="AG22" s="87" t="s">
        <v>957</v>
      </c>
      <c r="AH22" s="82" t="b">
        <v>1</v>
      </c>
      <c r="AI22" s="82" t="s">
        <v>973</v>
      </c>
      <c r="AJ22" s="82"/>
      <c r="AK22" s="87" t="s">
        <v>758</v>
      </c>
      <c r="AL22" s="82" t="b">
        <v>0</v>
      </c>
      <c r="AM22" s="82">
        <v>6</v>
      </c>
      <c r="AN22" s="87" t="s">
        <v>756</v>
      </c>
      <c r="AO22" s="87" t="s">
        <v>977</v>
      </c>
      <c r="AP22" s="82" t="b">
        <v>0</v>
      </c>
      <c r="AQ22" s="87" t="s">
        <v>756</v>
      </c>
      <c r="AR22" s="82" t="s">
        <v>211</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3</v>
      </c>
      <c r="BG22" s="50">
        <v>17.647058823529413</v>
      </c>
      <c r="BH22" s="49">
        <v>0</v>
      </c>
      <c r="BI22" s="50">
        <v>0</v>
      </c>
      <c r="BJ22" s="49">
        <v>0</v>
      </c>
      <c r="BK22" s="50">
        <v>0</v>
      </c>
      <c r="BL22" s="49">
        <v>14</v>
      </c>
      <c r="BM22" s="50">
        <v>82.3529411764706</v>
      </c>
      <c r="BN22" s="49">
        <v>17</v>
      </c>
    </row>
    <row r="23" spans="1:66" ht="15">
      <c r="A23" s="66" t="s">
        <v>257</v>
      </c>
      <c r="B23" s="66" t="s">
        <v>274</v>
      </c>
      <c r="C23" s="67" t="s">
        <v>2139</v>
      </c>
      <c r="D23" s="68">
        <v>3</v>
      </c>
      <c r="E23" s="69" t="s">
        <v>132</v>
      </c>
      <c r="F23" s="70">
        <v>32</v>
      </c>
      <c r="G23" s="67"/>
      <c r="H23" s="71"/>
      <c r="I23" s="72"/>
      <c r="J23" s="72"/>
      <c r="K23" s="35" t="s">
        <v>65</v>
      </c>
      <c r="L23" s="80">
        <v>23</v>
      </c>
      <c r="M23" s="80"/>
      <c r="N23" s="74"/>
      <c r="O23" s="82" t="s">
        <v>329</v>
      </c>
      <c r="P23" s="84">
        <v>44722.80998842593</v>
      </c>
      <c r="Q23" s="82" t="s">
        <v>336</v>
      </c>
      <c r="R23" s="85" t="str">
        <f>HYPERLINK("https://twitter.com/tweetbytheriver/status/1535321437795500032")</f>
        <v>https://twitter.com/tweetbytheriver/status/1535321437795500032</v>
      </c>
      <c r="S23" s="82" t="s">
        <v>523</v>
      </c>
      <c r="T23" s="82"/>
      <c r="U23" s="82"/>
      <c r="V23" s="85" t="str">
        <f>HYPERLINK("https://pbs.twimg.com/profile_images/1479896259884466176/zNnjhXDe_normal.jpg")</f>
        <v>https://pbs.twimg.com/profile_images/1479896259884466176/zNnjhXDe_normal.jpg</v>
      </c>
      <c r="W23" s="84">
        <v>44722.80998842593</v>
      </c>
      <c r="X23" s="89">
        <v>44722</v>
      </c>
      <c r="Y23" s="87" t="s">
        <v>548</v>
      </c>
      <c r="Z23" s="85" t="str">
        <f>HYPERLINK("https://twitter.com/nicolawriting/status/1535342632724987904")</f>
        <v>https://twitter.com/nicolawriting/status/1535342632724987904</v>
      </c>
      <c r="AA23" s="82"/>
      <c r="AB23" s="82"/>
      <c r="AC23" s="87" t="s">
        <v>737</v>
      </c>
      <c r="AD23" s="82"/>
      <c r="AE23" s="82" t="b">
        <v>0</v>
      </c>
      <c r="AF23" s="82">
        <v>0</v>
      </c>
      <c r="AG23" s="87" t="s">
        <v>957</v>
      </c>
      <c r="AH23" s="82" t="b">
        <v>1</v>
      </c>
      <c r="AI23" s="82" t="s">
        <v>973</v>
      </c>
      <c r="AJ23" s="82"/>
      <c r="AK23" s="87" t="s">
        <v>758</v>
      </c>
      <c r="AL23" s="82" t="b">
        <v>0</v>
      </c>
      <c r="AM23" s="82">
        <v>6</v>
      </c>
      <c r="AN23" s="87" t="s">
        <v>756</v>
      </c>
      <c r="AO23" s="87" t="s">
        <v>977</v>
      </c>
      <c r="AP23" s="82" t="b">
        <v>0</v>
      </c>
      <c r="AQ23" s="87" t="s">
        <v>756</v>
      </c>
      <c r="AR23" s="82" t="s">
        <v>211</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6" t="s">
        <v>257</v>
      </c>
      <c r="B24" s="66" t="s">
        <v>275</v>
      </c>
      <c r="C24" s="67" t="s">
        <v>2139</v>
      </c>
      <c r="D24" s="68">
        <v>3</v>
      </c>
      <c r="E24" s="69" t="s">
        <v>132</v>
      </c>
      <c r="F24" s="70">
        <v>32</v>
      </c>
      <c r="G24" s="67"/>
      <c r="H24" s="71"/>
      <c r="I24" s="72"/>
      <c r="J24" s="72"/>
      <c r="K24" s="35" t="s">
        <v>65</v>
      </c>
      <c r="L24" s="80">
        <v>24</v>
      </c>
      <c r="M24" s="80"/>
      <c r="N24" s="74"/>
      <c r="O24" s="82" t="s">
        <v>329</v>
      </c>
      <c r="P24" s="84">
        <v>44722.80998842593</v>
      </c>
      <c r="Q24" s="82" t="s">
        <v>336</v>
      </c>
      <c r="R24" s="85" t="str">
        <f>HYPERLINK("https://twitter.com/tweetbytheriver/status/1535321437795500032")</f>
        <v>https://twitter.com/tweetbytheriver/status/1535321437795500032</v>
      </c>
      <c r="S24" s="82" t="s">
        <v>523</v>
      </c>
      <c r="T24" s="82"/>
      <c r="U24" s="82"/>
      <c r="V24" s="85" t="str">
        <f>HYPERLINK("https://pbs.twimg.com/profile_images/1479896259884466176/zNnjhXDe_normal.jpg")</f>
        <v>https://pbs.twimg.com/profile_images/1479896259884466176/zNnjhXDe_normal.jpg</v>
      </c>
      <c r="W24" s="84">
        <v>44722.80998842593</v>
      </c>
      <c r="X24" s="89">
        <v>44722</v>
      </c>
      <c r="Y24" s="87" t="s">
        <v>548</v>
      </c>
      <c r="Z24" s="85" t="str">
        <f>HYPERLINK("https://twitter.com/nicolawriting/status/1535342632724987904")</f>
        <v>https://twitter.com/nicolawriting/status/1535342632724987904</v>
      </c>
      <c r="AA24" s="82"/>
      <c r="AB24" s="82"/>
      <c r="AC24" s="87" t="s">
        <v>737</v>
      </c>
      <c r="AD24" s="82"/>
      <c r="AE24" s="82" t="b">
        <v>0</v>
      </c>
      <c r="AF24" s="82">
        <v>0</v>
      </c>
      <c r="AG24" s="87" t="s">
        <v>957</v>
      </c>
      <c r="AH24" s="82" t="b">
        <v>1</v>
      </c>
      <c r="AI24" s="82" t="s">
        <v>973</v>
      </c>
      <c r="AJ24" s="82"/>
      <c r="AK24" s="87" t="s">
        <v>758</v>
      </c>
      <c r="AL24" s="82" t="b">
        <v>0</v>
      </c>
      <c r="AM24" s="82">
        <v>6</v>
      </c>
      <c r="AN24" s="87" t="s">
        <v>756</v>
      </c>
      <c r="AO24" s="87" t="s">
        <v>977</v>
      </c>
      <c r="AP24" s="82" t="b">
        <v>0</v>
      </c>
      <c r="AQ24" s="87" t="s">
        <v>756</v>
      </c>
      <c r="AR24" s="82" t="s">
        <v>211</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6" t="s">
        <v>257</v>
      </c>
      <c r="B25" s="66" t="s">
        <v>273</v>
      </c>
      <c r="C25" s="67" t="s">
        <v>2139</v>
      </c>
      <c r="D25" s="68">
        <v>3</v>
      </c>
      <c r="E25" s="69" t="s">
        <v>132</v>
      </c>
      <c r="F25" s="70">
        <v>32</v>
      </c>
      <c r="G25" s="67"/>
      <c r="H25" s="71"/>
      <c r="I25" s="72"/>
      <c r="J25" s="72"/>
      <c r="K25" s="35" t="s">
        <v>65</v>
      </c>
      <c r="L25" s="80">
        <v>25</v>
      </c>
      <c r="M25" s="80"/>
      <c r="N25" s="74"/>
      <c r="O25" s="82" t="s">
        <v>330</v>
      </c>
      <c r="P25" s="84">
        <v>44722.80998842593</v>
      </c>
      <c r="Q25" s="82" t="s">
        <v>336</v>
      </c>
      <c r="R25" s="85" t="str">
        <f>HYPERLINK("https://twitter.com/tweetbytheriver/status/1535321437795500032")</f>
        <v>https://twitter.com/tweetbytheriver/status/1535321437795500032</v>
      </c>
      <c r="S25" s="82" t="s">
        <v>523</v>
      </c>
      <c r="T25" s="82"/>
      <c r="U25" s="82"/>
      <c r="V25" s="85" t="str">
        <f>HYPERLINK("https://pbs.twimg.com/profile_images/1479896259884466176/zNnjhXDe_normal.jpg")</f>
        <v>https://pbs.twimg.com/profile_images/1479896259884466176/zNnjhXDe_normal.jpg</v>
      </c>
      <c r="W25" s="84">
        <v>44722.80998842593</v>
      </c>
      <c r="X25" s="89">
        <v>44722</v>
      </c>
      <c r="Y25" s="87" t="s">
        <v>548</v>
      </c>
      <c r="Z25" s="85" t="str">
        <f>HYPERLINK("https://twitter.com/nicolawriting/status/1535342632724987904")</f>
        <v>https://twitter.com/nicolawriting/status/1535342632724987904</v>
      </c>
      <c r="AA25" s="82"/>
      <c r="AB25" s="82"/>
      <c r="AC25" s="87" t="s">
        <v>737</v>
      </c>
      <c r="AD25" s="82"/>
      <c r="AE25" s="82" t="b">
        <v>0</v>
      </c>
      <c r="AF25" s="82">
        <v>0</v>
      </c>
      <c r="AG25" s="87" t="s">
        <v>957</v>
      </c>
      <c r="AH25" s="82" t="b">
        <v>1</v>
      </c>
      <c r="AI25" s="82" t="s">
        <v>973</v>
      </c>
      <c r="AJ25" s="82"/>
      <c r="AK25" s="87" t="s">
        <v>758</v>
      </c>
      <c r="AL25" s="82" t="b">
        <v>0</v>
      </c>
      <c r="AM25" s="82">
        <v>6</v>
      </c>
      <c r="AN25" s="87" t="s">
        <v>756</v>
      </c>
      <c r="AO25" s="87" t="s">
        <v>977</v>
      </c>
      <c r="AP25" s="82" t="b">
        <v>0</v>
      </c>
      <c r="AQ25" s="87" t="s">
        <v>756</v>
      </c>
      <c r="AR25" s="82" t="s">
        <v>211</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3</v>
      </c>
      <c r="BG25" s="50">
        <v>17.647058823529413</v>
      </c>
      <c r="BH25" s="49">
        <v>0</v>
      </c>
      <c r="BI25" s="50">
        <v>0</v>
      </c>
      <c r="BJ25" s="49">
        <v>0</v>
      </c>
      <c r="BK25" s="50">
        <v>0</v>
      </c>
      <c r="BL25" s="49">
        <v>14</v>
      </c>
      <c r="BM25" s="50">
        <v>82.3529411764706</v>
      </c>
      <c r="BN25" s="49">
        <v>17</v>
      </c>
    </row>
    <row r="26" spans="1:66" ht="15">
      <c r="A26" s="66" t="s">
        <v>258</v>
      </c>
      <c r="B26" s="66" t="s">
        <v>274</v>
      </c>
      <c r="C26" s="67" t="s">
        <v>2139</v>
      </c>
      <c r="D26" s="68">
        <v>3</v>
      </c>
      <c r="E26" s="69" t="s">
        <v>132</v>
      </c>
      <c r="F26" s="70">
        <v>32</v>
      </c>
      <c r="G26" s="67"/>
      <c r="H26" s="71"/>
      <c r="I26" s="72"/>
      <c r="J26" s="72"/>
      <c r="K26" s="35" t="s">
        <v>65</v>
      </c>
      <c r="L26" s="80">
        <v>26</v>
      </c>
      <c r="M26" s="80"/>
      <c r="N26" s="74"/>
      <c r="O26" s="82" t="s">
        <v>329</v>
      </c>
      <c r="P26" s="84">
        <v>44722.896875</v>
      </c>
      <c r="Q26" s="82" t="s">
        <v>336</v>
      </c>
      <c r="R26" s="85" t="str">
        <f>HYPERLINK("https://twitter.com/tweetbytheriver/status/1535321437795500032")</f>
        <v>https://twitter.com/tweetbytheriver/status/1535321437795500032</v>
      </c>
      <c r="S26" s="82" t="s">
        <v>523</v>
      </c>
      <c r="T26" s="82"/>
      <c r="U26" s="82"/>
      <c r="V26" s="85" t="str">
        <f>HYPERLINK("https://pbs.twimg.com/profile_images/3532899383/72ed4457846b089b9d75b71df28c67ad_normal.jpeg")</f>
        <v>https://pbs.twimg.com/profile_images/3532899383/72ed4457846b089b9d75b71df28c67ad_normal.jpeg</v>
      </c>
      <c r="W26" s="84">
        <v>44722.896875</v>
      </c>
      <c r="X26" s="89">
        <v>44722</v>
      </c>
      <c r="Y26" s="87" t="s">
        <v>549</v>
      </c>
      <c r="Z26" s="85" t="str">
        <f>HYPERLINK("https://twitter.com/dansumption/status/1535374117754765312")</f>
        <v>https://twitter.com/dansumption/status/1535374117754765312</v>
      </c>
      <c r="AA26" s="82"/>
      <c r="AB26" s="82"/>
      <c r="AC26" s="87" t="s">
        <v>738</v>
      </c>
      <c r="AD26" s="82"/>
      <c r="AE26" s="82" t="b">
        <v>0</v>
      </c>
      <c r="AF26" s="82">
        <v>0</v>
      </c>
      <c r="AG26" s="87" t="s">
        <v>957</v>
      </c>
      <c r="AH26" s="82" t="b">
        <v>1</v>
      </c>
      <c r="AI26" s="82" t="s">
        <v>973</v>
      </c>
      <c r="AJ26" s="82"/>
      <c r="AK26" s="87" t="s">
        <v>758</v>
      </c>
      <c r="AL26" s="82" t="b">
        <v>0</v>
      </c>
      <c r="AM26" s="82">
        <v>6</v>
      </c>
      <c r="AN26" s="87" t="s">
        <v>756</v>
      </c>
      <c r="AO26" s="87" t="s">
        <v>978</v>
      </c>
      <c r="AP26" s="82" t="b">
        <v>0</v>
      </c>
      <c r="AQ26" s="87" t="s">
        <v>756</v>
      </c>
      <c r="AR26" s="82" t="s">
        <v>211</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6" t="s">
        <v>258</v>
      </c>
      <c r="B27" s="66" t="s">
        <v>275</v>
      </c>
      <c r="C27" s="67" t="s">
        <v>2139</v>
      </c>
      <c r="D27" s="68">
        <v>3</v>
      </c>
      <c r="E27" s="69" t="s">
        <v>132</v>
      </c>
      <c r="F27" s="70">
        <v>32</v>
      </c>
      <c r="G27" s="67"/>
      <c r="H27" s="71"/>
      <c r="I27" s="72"/>
      <c r="J27" s="72"/>
      <c r="K27" s="35" t="s">
        <v>65</v>
      </c>
      <c r="L27" s="80">
        <v>27</v>
      </c>
      <c r="M27" s="80"/>
      <c r="N27" s="74"/>
      <c r="O27" s="82" t="s">
        <v>329</v>
      </c>
      <c r="P27" s="84">
        <v>44722.896875</v>
      </c>
      <c r="Q27" s="82" t="s">
        <v>336</v>
      </c>
      <c r="R27" s="85" t="str">
        <f>HYPERLINK("https://twitter.com/tweetbytheriver/status/1535321437795500032")</f>
        <v>https://twitter.com/tweetbytheriver/status/1535321437795500032</v>
      </c>
      <c r="S27" s="82" t="s">
        <v>523</v>
      </c>
      <c r="T27" s="82"/>
      <c r="U27" s="82"/>
      <c r="V27" s="85" t="str">
        <f>HYPERLINK("https://pbs.twimg.com/profile_images/3532899383/72ed4457846b089b9d75b71df28c67ad_normal.jpeg")</f>
        <v>https://pbs.twimg.com/profile_images/3532899383/72ed4457846b089b9d75b71df28c67ad_normal.jpeg</v>
      </c>
      <c r="W27" s="84">
        <v>44722.896875</v>
      </c>
      <c r="X27" s="89">
        <v>44722</v>
      </c>
      <c r="Y27" s="87" t="s">
        <v>549</v>
      </c>
      <c r="Z27" s="85" t="str">
        <f>HYPERLINK("https://twitter.com/dansumption/status/1535374117754765312")</f>
        <v>https://twitter.com/dansumption/status/1535374117754765312</v>
      </c>
      <c r="AA27" s="82"/>
      <c r="AB27" s="82"/>
      <c r="AC27" s="87" t="s">
        <v>738</v>
      </c>
      <c r="AD27" s="82"/>
      <c r="AE27" s="82" t="b">
        <v>0</v>
      </c>
      <c r="AF27" s="82">
        <v>0</v>
      </c>
      <c r="AG27" s="87" t="s">
        <v>957</v>
      </c>
      <c r="AH27" s="82" t="b">
        <v>1</v>
      </c>
      <c r="AI27" s="82" t="s">
        <v>973</v>
      </c>
      <c r="AJ27" s="82"/>
      <c r="AK27" s="87" t="s">
        <v>758</v>
      </c>
      <c r="AL27" s="82" t="b">
        <v>0</v>
      </c>
      <c r="AM27" s="82">
        <v>6</v>
      </c>
      <c r="AN27" s="87" t="s">
        <v>756</v>
      </c>
      <c r="AO27" s="87" t="s">
        <v>978</v>
      </c>
      <c r="AP27" s="82" t="b">
        <v>0</v>
      </c>
      <c r="AQ27" s="87" t="s">
        <v>756</v>
      </c>
      <c r="AR27" s="82" t="s">
        <v>211</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6" t="s">
        <v>258</v>
      </c>
      <c r="B28" s="66" t="s">
        <v>273</v>
      </c>
      <c r="C28" s="67" t="s">
        <v>2139</v>
      </c>
      <c r="D28" s="68">
        <v>3</v>
      </c>
      <c r="E28" s="69" t="s">
        <v>132</v>
      </c>
      <c r="F28" s="70">
        <v>32</v>
      </c>
      <c r="G28" s="67"/>
      <c r="H28" s="71"/>
      <c r="I28" s="72"/>
      <c r="J28" s="72"/>
      <c r="K28" s="35" t="s">
        <v>65</v>
      </c>
      <c r="L28" s="80">
        <v>28</v>
      </c>
      <c r="M28" s="80"/>
      <c r="N28" s="74"/>
      <c r="O28" s="82" t="s">
        <v>330</v>
      </c>
      <c r="P28" s="84">
        <v>44722.896875</v>
      </c>
      <c r="Q28" s="82" t="s">
        <v>336</v>
      </c>
      <c r="R28" s="85" t="str">
        <f>HYPERLINK("https://twitter.com/tweetbytheriver/status/1535321437795500032")</f>
        <v>https://twitter.com/tweetbytheriver/status/1535321437795500032</v>
      </c>
      <c r="S28" s="82" t="s">
        <v>523</v>
      </c>
      <c r="T28" s="82"/>
      <c r="U28" s="82"/>
      <c r="V28" s="85" t="str">
        <f>HYPERLINK("https://pbs.twimg.com/profile_images/3532899383/72ed4457846b089b9d75b71df28c67ad_normal.jpeg")</f>
        <v>https://pbs.twimg.com/profile_images/3532899383/72ed4457846b089b9d75b71df28c67ad_normal.jpeg</v>
      </c>
      <c r="W28" s="84">
        <v>44722.896875</v>
      </c>
      <c r="X28" s="89">
        <v>44722</v>
      </c>
      <c r="Y28" s="87" t="s">
        <v>549</v>
      </c>
      <c r="Z28" s="85" t="str">
        <f>HYPERLINK("https://twitter.com/dansumption/status/1535374117754765312")</f>
        <v>https://twitter.com/dansumption/status/1535374117754765312</v>
      </c>
      <c r="AA28" s="82"/>
      <c r="AB28" s="82"/>
      <c r="AC28" s="87" t="s">
        <v>738</v>
      </c>
      <c r="AD28" s="82"/>
      <c r="AE28" s="82" t="b">
        <v>0</v>
      </c>
      <c r="AF28" s="82">
        <v>0</v>
      </c>
      <c r="AG28" s="87" t="s">
        <v>957</v>
      </c>
      <c r="AH28" s="82" t="b">
        <v>1</v>
      </c>
      <c r="AI28" s="82" t="s">
        <v>973</v>
      </c>
      <c r="AJ28" s="82"/>
      <c r="AK28" s="87" t="s">
        <v>758</v>
      </c>
      <c r="AL28" s="82" t="b">
        <v>0</v>
      </c>
      <c r="AM28" s="82">
        <v>6</v>
      </c>
      <c r="AN28" s="87" t="s">
        <v>756</v>
      </c>
      <c r="AO28" s="87" t="s">
        <v>978</v>
      </c>
      <c r="AP28" s="82" t="b">
        <v>0</v>
      </c>
      <c r="AQ28" s="87" t="s">
        <v>756</v>
      </c>
      <c r="AR28" s="82" t="s">
        <v>211</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3</v>
      </c>
      <c r="BG28" s="50">
        <v>17.647058823529413</v>
      </c>
      <c r="BH28" s="49">
        <v>0</v>
      </c>
      <c r="BI28" s="50">
        <v>0</v>
      </c>
      <c r="BJ28" s="49">
        <v>0</v>
      </c>
      <c r="BK28" s="50">
        <v>0</v>
      </c>
      <c r="BL28" s="49">
        <v>14</v>
      </c>
      <c r="BM28" s="50">
        <v>82.3529411764706</v>
      </c>
      <c r="BN28" s="49">
        <v>17</v>
      </c>
    </row>
    <row r="29" spans="1:66" ht="15">
      <c r="A29" s="66" t="s">
        <v>259</v>
      </c>
      <c r="B29" s="66" t="s">
        <v>274</v>
      </c>
      <c r="C29" s="67" t="s">
        <v>2139</v>
      </c>
      <c r="D29" s="68">
        <v>3</v>
      </c>
      <c r="E29" s="69" t="s">
        <v>132</v>
      </c>
      <c r="F29" s="70">
        <v>32</v>
      </c>
      <c r="G29" s="67"/>
      <c r="H29" s="71"/>
      <c r="I29" s="72"/>
      <c r="J29" s="72"/>
      <c r="K29" s="35" t="s">
        <v>65</v>
      </c>
      <c r="L29" s="80">
        <v>29</v>
      </c>
      <c r="M29" s="80"/>
      <c r="N29" s="74"/>
      <c r="O29" s="82" t="s">
        <v>329</v>
      </c>
      <c r="P29" s="84">
        <v>44723.04423611111</v>
      </c>
      <c r="Q29" s="82" t="s">
        <v>336</v>
      </c>
      <c r="R29" s="85" t="str">
        <f>HYPERLINK("https://twitter.com/tweetbytheriver/status/1535321437795500032")</f>
        <v>https://twitter.com/tweetbytheriver/status/1535321437795500032</v>
      </c>
      <c r="S29" s="82" t="s">
        <v>523</v>
      </c>
      <c r="T29" s="82"/>
      <c r="U29" s="82"/>
      <c r="V29" s="85" t="str">
        <f>HYPERLINK("https://pbs.twimg.com/profile_images/82163422/150x150diese_normal.jpg")</f>
        <v>https://pbs.twimg.com/profile_images/82163422/150x150diese_normal.jpg</v>
      </c>
      <c r="W29" s="84">
        <v>44723.04423611111</v>
      </c>
      <c r="X29" s="89">
        <v>44723</v>
      </c>
      <c r="Y29" s="87" t="s">
        <v>550</v>
      </c>
      <c r="Z29" s="85" t="str">
        <f>HYPERLINK("https://twitter.com/originalsyna/status/1535427522359336960")</f>
        <v>https://twitter.com/originalsyna/status/1535427522359336960</v>
      </c>
      <c r="AA29" s="82"/>
      <c r="AB29" s="82"/>
      <c r="AC29" s="87" t="s">
        <v>739</v>
      </c>
      <c r="AD29" s="82"/>
      <c r="AE29" s="82" t="b">
        <v>0</v>
      </c>
      <c r="AF29" s="82">
        <v>0</v>
      </c>
      <c r="AG29" s="87" t="s">
        <v>957</v>
      </c>
      <c r="AH29" s="82" t="b">
        <v>1</v>
      </c>
      <c r="AI29" s="82" t="s">
        <v>973</v>
      </c>
      <c r="AJ29" s="82"/>
      <c r="AK29" s="87" t="s">
        <v>758</v>
      </c>
      <c r="AL29" s="82" t="b">
        <v>0</v>
      </c>
      <c r="AM29" s="82">
        <v>6</v>
      </c>
      <c r="AN29" s="87" t="s">
        <v>756</v>
      </c>
      <c r="AO29" s="87" t="s">
        <v>978</v>
      </c>
      <c r="AP29" s="82" t="b">
        <v>0</v>
      </c>
      <c r="AQ29" s="87" t="s">
        <v>756</v>
      </c>
      <c r="AR29" s="82" t="s">
        <v>211</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6" t="s">
        <v>259</v>
      </c>
      <c r="B30" s="66" t="s">
        <v>275</v>
      </c>
      <c r="C30" s="67" t="s">
        <v>2139</v>
      </c>
      <c r="D30" s="68">
        <v>3</v>
      </c>
      <c r="E30" s="69" t="s">
        <v>132</v>
      </c>
      <c r="F30" s="70">
        <v>32</v>
      </c>
      <c r="G30" s="67"/>
      <c r="H30" s="71"/>
      <c r="I30" s="72"/>
      <c r="J30" s="72"/>
      <c r="K30" s="35" t="s">
        <v>65</v>
      </c>
      <c r="L30" s="80">
        <v>30</v>
      </c>
      <c r="M30" s="80"/>
      <c r="N30" s="74"/>
      <c r="O30" s="82" t="s">
        <v>329</v>
      </c>
      <c r="P30" s="84">
        <v>44723.04423611111</v>
      </c>
      <c r="Q30" s="82" t="s">
        <v>336</v>
      </c>
      <c r="R30" s="85" t="str">
        <f>HYPERLINK("https://twitter.com/tweetbytheriver/status/1535321437795500032")</f>
        <v>https://twitter.com/tweetbytheriver/status/1535321437795500032</v>
      </c>
      <c r="S30" s="82" t="s">
        <v>523</v>
      </c>
      <c r="T30" s="82"/>
      <c r="U30" s="82"/>
      <c r="V30" s="85" t="str">
        <f>HYPERLINK("https://pbs.twimg.com/profile_images/82163422/150x150diese_normal.jpg")</f>
        <v>https://pbs.twimg.com/profile_images/82163422/150x150diese_normal.jpg</v>
      </c>
      <c r="W30" s="84">
        <v>44723.04423611111</v>
      </c>
      <c r="X30" s="89">
        <v>44723</v>
      </c>
      <c r="Y30" s="87" t="s">
        <v>550</v>
      </c>
      <c r="Z30" s="85" t="str">
        <f>HYPERLINK("https://twitter.com/originalsyna/status/1535427522359336960")</f>
        <v>https://twitter.com/originalsyna/status/1535427522359336960</v>
      </c>
      <c r="AA30" s="82"/>
      <c r="AB30" s="82"/>
      <c r="AC30" s="87" t="s">
        <v>739</v>
      </c>
      <c r="AD30" s="82"/>
      <c r="AE30" s="82" t="b">
        <v>0</v>
      </c>
      <c r="AF30" s="82">
        <v>0</v>
      </c>
      <c r="AG30" s="87" t="s">
        <v>957</v>
      </c>
      <c r="AH30" s="82" t="b">
        <v>1</v>
      </c>
      <c r="AI30" s="82" t="s">
        <v>973</v>
      </c>
      <c r="AJ30" s="82"/>
      <c r="AK30" s="87" t="s">
        <v>758</v>
      </c>
      <c r="AL30" s="82" t="b">
        <v>0</v>
      </c>
      <c r="AM30" s="82">
        <v>6</v>
      </c>
      <c r="AN30" s="87" t="s">
        <v>756</v>
      </c>
      <c r="AO30" s="87" t="s">
        <v>978</v>
      </c>
      <c r="AP30" s="82" t="b">
        <v>0</v>
      </c>
      <c r="AQ30" s="87" t="s">
        <v>756</v>
      </c>
      <c r="AR30" s="82" t="s">
        <v>211</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6" t="s">
        <v>259</v>
      </c>
      <c r="B31" s="66" t="s">
        <v>273</v>
      </c>
      <c r="C31" s="67" t="s">
        <v>2139</v>
      </c>
      <c r="D31" s="68">
        <v>3</v>
      </c>
      <c r="E31" s="69" t="s">
        <v>132</v>
      </c>
      <c r="F31" s="70">
        <v>32</v>
      </c>
      <c r="G31" s="67"/>
      <c r="H31" s="71"/>
      <c r="I31" s="72"/>
      <c r="J31" s="72"/>
      <c r="K31" s="35" t="s">
        <v>65</v>
      </c>
      <c r="L31" s="80">
        <v>31</v>
      </c>
      <c r="M31" s="80"/>
      <c r="N31" s="74"/>
      <c r="O31" s="82" t="s">
        <v>330</v>
      </c>
      <c r="P31" s="84">
        <v>44723.04423611111</v>
      </c>
      <c r="Q31" s="82" t="s">
        <v>336</v>
      </c>
      <c r="R31" s="85" t="str">
        <f>HYPERLINK("https://twitter.com/tweetbytheriver/status/1535321437795500032")</f>
        <v>https://twitter.com/tweetbytheriver/status/1535321437795500032</v>
      </c>
      <c r="S31" s="82" t="s">
        <v>523</v>
      </c>
      <c r="T31" s="82"/>
      <c r="U31" s="82"/>
      <c r="V31" s="85" t="str">
        <f>HYPERLINK("https://pbs.twimg.com/profile_images/82163422/150x150diese_normal.jpg")</f>
        <v>https://pbs.twimg.com/profile_images/82163422/150x150diese_normal.jpg</v>
      </c>
      <c r="W31" s="84">
        <v>44723.04423611111</v>
      </c>
      <c r="X31" s="89">
        <v>44723</v>
      </c>
      <c r="Y31" s="87" t="s">
        <v>550</v>
      </c>
      <c r="Z31" s="85" t="str">
        <f>HYPERLINK("https://twitter.com/originalsyna/status/1535427522359336960")</f>
        <v>https://twitter.com/originalsyna/status/1535427522359336960</v>
      </c>
      <c r="AA31" s="82"/>
      <c r="AB31" s="82"/>
      <c r="AC31" s="87" t="s">
        <v>739</v>
      </c>
      <c r="AD31" s="82"/>
      <c r="AE31" s="82" t="b">
        <v>0</v>
      </c>
      <c r="AF31" s="82">
        <v>0</v>
      </c>
      <c r="AG31" s="87" t="s">
        <v>957</v>
      </c>
      <c r="AH31" s="82" t="b">
        <v>1</v>
      </c>
      <c r="AI31" s="82" t="s">
        <v>973</v>
      </c>
      <c r="AJ31" s="82"/>
      <c r="AK31" s="87" t="s">
        <v>758</v>
      </c>
      <c r="AL31" s="82" t="b">
        <v>0</v>
      </c>
      <c r="AM31" s="82">
        <v>6</v>
      </c>
      <c r="AN31" s="87" t="s">
        <v>756</v>
      </c>
      <c r="AO31" s="87" t="s">
        <v>978</v>
      </c>
      <c r="AP31" s="82" t="b">
        <v>0</v>
      </c>
      <c r="AQ31" s="87" t="s">
        <v>756</v>
      </c>
      <c r="AR31" s="82" t="s">
        <v>211</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3</v>
      </c>
      <c r="BG31" s="50">
        <v>17.647058823529413</v>
      </c>
      <c r="BH31" s="49">
        <v>0</v>
      </c>
      <c r="BI31" s="50">
        <v>0</v>
      </c>
      <c r="BJ31" s="49">
        <v>0</v>
      </c>
      <c r="BK31" s="50">
        <v>0</v>
      </c>
      <c r="BL31" s="49">
        <v>14</v>
      </c>
      <c r="BM31" s="50">
        <v>82.3529411764706</v>
      </c>
      <c r="BN31" s="49">
        <v>17</v>
      </c>
    </row>
    <row r="32" spans="1:66" ht="15">
      <c r="A32" s="66" t="s">
        <v>260</v>
      </c>
      <c r="B32" s="66" t="s">
        <v>260</v>
      </c>
      <c r="C32" s="67" t="s">
        <v>2139</v>
      </c>
      <c r="D32" s="68">
        <v>3</v>
      </c>
      <c r="E32" s="69" t="s">
        <v>132</v>
      </c>
      <c r="F32" s="70">
        <v>32</v>
      </c>
      <c r="G32" s="67"/>
      <c r="H32" s="71"/>
      <c r="I32" s="72"/>
      <c r="J32" s="72"/>
      <c r="K32" s="35" t="s">
        <v>65</v>
      </c>
      <c r="L32" s="80">
        <v>32</v>
      </c>
      <c r="M32" s="80"/>
      <c r="N32" s="74"/>
      <c r="O32" s="82" t="s">
        <v>211</v>
      </c>
      <c r="P32" s="84">
        <v>44723.3209375</v>
      </c>
      <c r="Q32" s="82" t="s">
        <v>338</v>
      </c>
      <c r="R32" s="85" t="str">
        <f>HYPERLINK("https://www.youtube.com/watch?v=HcbM77qCu3o")</f>
        <v>https://www.youtube.com/watch?v=HcbM77qCu3o</v>
      </c>
      <c r="S32" s="82" t="s">
        <v>524</v>
      </c>
      <c r="T32" s="87" t="s">
        <v>532</v>
      </c>
      <c r="U32" s="85" t="str">
        <f>HYPERLINK("https://pbs.twimg.com/media/FU9KYhpXsAAecjx.jpg")</f>
        <v>https://pbs.twimg.com/media/FU9KYhpXsAAecjx.jpg</v>
      </c>
      <c r="V32" s="85" t="str">
        <f>HYPERLINK("https://pbs.twimg.com/media/FU9KYhpXsAAecjx.jpg")</f>
        <v>https://pbs.twimg.com/media/FU9KYhpXsAAecjx.jpg</v>
      </c>
      <c r="W32" s="84">
        <v>44723.3209375</v>
      </c>
      <c r="X32" s="89">
        <v>44723</v>
      </c>
      <c r="Y32" s="87" t="s">
        <v>551</v>
      </c>
      <c r="Z32" s="85" t="str">
        <f>HYPERLINK("https://twitter.com/jpt_paris/status/1535527793194418176")</f>
        <v>https://twitter.com/jpt_paris/status/1535527793194418176</v>
      </c>
      <c r="AA32" s="82"/>
      <c r="AB32" s="82"/>
      <c r="AC32" s="87" t="s">
        <v>740</v>
      </c>
      <c r="AD32" s="82"/>
      <c r="AE32" s="82" t="b">
        <v>0</v>
      </c>
      <c r="AF32" s="82">
        <v>3</v>
      </c>
      <c r="AG32" s="87" t="s">
        <v>957</v>
      </c>
      <c r="AH32" s="82" t="b">
        <v>0</v>
      </c>
      <c r="AI32" s="82" t="s">
        <v>973</v>
      </c>
      <c r="AJ32" s="82"/>
      <c r="AK32" s="87" t="s">
        <v>957</v>
      </c>
      <c r="AL32" s="82" t="b">
        <v>0</v>
      </c>
      <c r="AM32" s="82">
        <v>1</v>
      </c>
      <c r="AN32" s="87" t="s">
        <v>957</v>
      </c>
      <c r="AO32" s="87" t="s">
        <v>978</v>
      </c>
      <c r="AP32" s="82" t="b">
        <v>0</v>
      </c>
      <c r="AQ32" s="87" t="s">
        <v>740</v>
      </c>
      <c r="AR32" s="82" t="s">
        <v>211</v>
      </c>
      <c r="AS32" s="82">
        <v>0</v>
      </c>
      <c r="AT32" s="82">
        <v>0</v>
      </c>
      <c r="AU32" s="82"/>
      <c r="AV32" s="82"/>
      <c r="AW32" s="82"/>
      <c r="AX32" s="82"/>
      <c r="AY32" s="82"/>
      <c r="AZ32" s="82"/>
      <c r="BA32" s="82"/>
      <c r="BB32" s="82"/>
      <c r="BC32">
        <v>1</v>
      </c>
      <c r="BD32" s="81" t="str">
        <f>REPLACE(INDEX(GroupVertices[Group],MATCH(Edges[[#This Row],[Vertex 1]],GroupVertices[Vertex],0)),1,1,"")</f>
        <v>19</v>
      </c>
      <c r="BE32" s="81" t="str">
        <f>REPLACE(INDEX(GroupVertices[Group],MATCH(Edges[[#This Row],[Vertex 2]],GroupVertices[Vertex],0)),1,1,"")</f>
        <v>19</v>
      </c>
      <c r="BF32" s="49">
        <v>0</v>
      </c>
      <c r="BG32" s="50">
        <v>0</v>
      </c>
      <c r="BH32" s="49">
        <v>1</v>
      </c>
      <c r="BI32" s="50">
        <v>5.882352941176471</v>
      </c>
      <c r="BJ32" s="49">
        <v>0</v>
      </c>
      <c r="BK32" s="50">
        <v>0</v>
      </c>
      <c r="BL32" s="49">
        <v>16</v>
      </c>
      <c r="BM32" s="50">
        <v>94.11764705882354</v>
      </c>
      <c r="BN32" s="49">
        <v>17</v>
      </c>
    </row>
    <row r="33" spans="1:66" ht="15">
      <c r="A33" s="66" t="s">
        <v>261</v>
      </c>
      <c r="B33" s="66" t="s">
        <v>260</v>
      </c>
      <c r="C33" s="67" t="s">
        <v>2139</v>
      </c>
      <c r="D33" s="68">
        <v>3</v>
      </c>
      <c r="E33" s="69" t="s">
        <v>132</v>
      </c>
      <c r="F33" s="70">
        <v>32</v>
      </c>
      <c r="G33" s="67"/>
      <c r="H33" s="71"/>
      <c r="I33" s="72"/>
      <c r="J33" s="72"/>
      <c r="K33" s="35" t="s">
        <v>65</v>
      </c>
      <c r="L33" s="80">
        <v>33</v>
      </c>
      <c r="M33" s="80"/>
      <c r="N33" s="74"/>
      <c r="O33" s="82" t="s">
        <v>330</v>
      </c>
      <c r="P33" s="84">
        <v>44723.32168981482</v>
      </c>
      <c r="Q33" s="82" t="s">
        <v>338</v>
      </c>
      <c r="R33" s="85" t="str">
        <f>HYPERLINK("https://www.youtube.com/watch?v=HcbM77qCu3o")</f>
        <v>https://www.youtube.com/watch?v=HcbM77qCu3o</v>
      </c>
      <c r="S33" s="82" t="s">
        <v>524</v>
      </c>
      <c r="T33" s="87" t="s">
        <v>533</v>
      </c>
      <c r="U33" s="85" t="str">
        <f>HYPERLINK("https://pbs.twimg.com/media/FU9KYhpXsAAecjx.jpg")</f>
        <v>https://pbs.twimg.com/media/FU9KYhpXsAAecjx.jpg</v>
      </c>
      <c r="V33" s="85" t="str">
        <f>HYPERLINK("https://pbs.twimg.com/media/FU9KYhpXsAAecjx.jpg")</f>
        <v>https://pbs.twimg.com/media/FU9KYhpXsAAecjx.jpg</v>
      </c>
      <c r="W33" s="84">
        <v>44723.32168981482</v>
      </c>
      <c r="X33" s="89">
        <v>44723</v>
      </c>
      <c r="Y33" s="87" t="s">
        <v>552</v>
      </c>
      <c r="Z33" s="85" t="str">
        <f>HYPERLINK("https://twitter.com/vinyl_for_life/status/1535528064725266433")</f>
        <v>https://twitter.com/vinyl_for_life/status/1535528064725266433</v>
      </c>
      <c r="AA33" s="82"/>
      <c r="AB33" s="82"/>
      <c r="AC33" s="87" t="s">
        <v>741</v>
      </c>
      <c r="AD33" s="82"/>
      <c r="AE33" s="82" t="b">
        <v>0</v>
      </c>
      <c r="AF33" s="82">
        <v>0</v>
      </c>
      <c r="AG33" s="87" t="s">
        <v>957</v>
      </c>
      <c r="AH33" s="82" t="b">
        <v>0</v>
      </c>
      <c r="AI33" s="82" t="s">
        <v>973</v>
      </c>
      <c r="AJ33" s="82"/>
      <c r="AK33" s="87" t="s">
        <v>957</v>
      </c>
      <c r="AL33" s="82" t="b">
        <v>0</v>
      </c>
      <c r="AM33" s="82">
        <v>1</v>
      </c>
      <c r="AN33" s="87" t="s">
        <v>740</v>
      </c>
      <c r="AO33" s="87" t="s">
        <v>261</v>
      </c>
      <c r="AP33" s="82" t="b">
        <v>0</v>
      </c>
      <c r="AQ33" s="87" t="s">
        <v>740</v>
      </c>
      <c r="AR33" s="82" t="s">
        <v>211</v>
      </c>
      <c r="AS33" s="82">
        <v>0</v>
      </c>
      <c r="AT33" s="82">
        <v>0</v>
      </c>
      <c r="AU33" s="82"/>
      <c r="AV33" s="82"/>
      <c r="AW33" s="82"/>
      <c r="AX33" s="82"/>
      <c r="AY33" s="82"/>
      <c r="AZ33" s="82"/>
      <c r="BA33" s="82"/>
      <c r="BB33" s="82"/>
      <c r="BC33">
        <v>1</v>
      </c>
      <c r="BD33" s="81" t="str">
        <f>REPLACE(INDEX(GroupVertices[Group],MATCH(Edges[[#This Row],[Vertex 1]],GroupVertices[Vertex],0)),1,1,"")</f>
        <v>19</v>
      </c>
      <c r="BE33" s="81" t="str">
        <f>REPLACE(INDEX(GroupVertices[Group],MATCH(Edges[[#This Row],[Vertex 2]],GroupVertices[Vertex],0)),1,1,"")</f>
        <v>19</v>
      </c>
      <c r="BF33" s="49">
        <v>0</v>
      </c>
      <c r="BG33" s="50">
        <v>0</v>
      </c>
      <c r="BH33" s="49">
        <v>1</v>
      </c>
      <c r="BI33" s="50">
        <v>5.882352941176471</v>
      </c>
      <c r="BJ33" s="49">
        <v>0</v>
      </c>
      <c r="BK33" s="50">
        <v>0</v>
      </c>
      <c r="BL33" s="49">
        <v>16</v>
      </c>
      <c r="BM33" s="50">
        <v>94.11764705882354</v>
      </c>
      <c r="BN33" s="49">
        <v>17</v>
      </c>
    </row>
    <row r="34" spans="1:66" ht="15">
      <c r="A34" s="66" t="s">
        <v>262</v>
      </c>
      <c r="B34" s="66" t="s">
        <v>268</v>
      </c>
      <c r="C34" s="67" t="s">
        <v>2139</v>
      </c>
      <c r="D34" s="68">
        <v>3</v>
      </c>
      <c r="E34" s="69" t="s">
        <v>132</v>
      </c>
      <c r="F34" s="70">
        <v>32</v>
      </c>
      <c r="G34" s="67"/>
      <c r="H34" s="71"/>
      <c r="I34" s="72"/>
      <c r="J34" s="72"/>
      <c r="K34" s="35" t="s">
        <v>65</v>
      </c>
      <c r="L34" s="80">
        <v>34</v>
      </c>
      <c r="M34" s="80"/>
      <c r="N34" s="74"/>
      <c r="O34" s="82" t="s">
        <v>331</v>
      </c>
      <c r="P34" s="84">
        <v>44723.3603125</v>
      </c>
      <c r="Q34" s="82" t="s">
        <v>339</v>
      </c>
      <c r="R34" s="85" t="str">
        <f>HYPERLINK("https://www.rooftopartscentre.co.uk/whats-on/")</f>
        <v>https://www.rooftopartscentre.co.uk/whats-on/</v>
      </c>
      <c r="S34" s="82" t="s">
        <v>521</v>
      </c>
      <c r="T34" s="87" t="s">
        <v>534</v>
      </c>
      <c r="U34" s="85" t="str">
        <f>HYPERLINK("https://pbs.twimg.com/media/FU9XXijWAAAliia.jpg")</f>
        <v>https://pbs.twimg.com/media/FU9XXijWAAAliia.jpg</v>
      </c>
      <c r="V34" s="85" t="str">
        <f>HYPERLINK("https://pbs.twimg.com/media/FU9XXijWAAAliia.jpg")</f>
        <v>https://pbs.twimg.com/media/FU9XXijWAAAliia.jpg</v>
      </c>
      <c r="W34" s="84">
        <v>44723.3603125</v>
      </c>
      <c r="X34" s="89">
        <v>44723</v>
      </c>
      <c r="Y34" s="87" t="s">
        <v>553</v>
      </c>
      <c r="Z34" s="85" t="str">
        <f>HYPERLINK("https://twitter.com/canntfestival/status/1535542064796028928")</f>
        <v>https://twitter.com/canntfestival/status/1535542064796028928</v>
      </c>
      <c r="AA34" s="82"/>
      <c r="AB34" s="82"/>
      <c r="AC34" s="87" t="s">
        <v>742</v>
      </c>
      <c r="AD34" s="82"/>
      <c r="AE34" s="82" t="b">
        <v>0</v>
      </c>
      <c r="AF34" s="82">
        <v>4</v>
      </c>
      <c r="AG34" s="87" t="s">
        <v>957</v>
      </c>
      <c r="AH34" s="82" t="b">
        <v>0</v>
      </c>
      <c r="AI34" s="82" t="s">
        <v>973</v>
      </c>
      <c r="AJ34" s="82"/>
      <c r="AK34" s="87" t="s">
        <v>957</v>
      </c>
      <c r="AL34" s="82" t="b">
        <v>0</v>
      </c>
      <c r="AM34" s="82">
        <v>0</v>
      </c>
      <c r="AN34" s="87" t="s">
        <v>957</v>
      </c>
      <c r="AO34" s="87" t="s">
        <v>979</v>
      </c>
      <c r="AP34" s="82" t="b">
        <v>0</v>
      </c>
      <c r="AQ34" s="87" t="s">
        <v>742</v>
      </c>
      <c r="AR34" s="82" t="s">
        <v>211</v>
      </c>
      <c r="AS34" s="82">
        <v>0</v>
      </c>
      <c r="AT34" s="82">
        <v>0</v>
      </c>
      <c r="AU34" s="82"/>
      <c r="AV34" s="82"/>
      <c r="AW34" s="82"/>
      <c r="AX34" s="82"/>
      <c r="AY34" s="82"/>
      <c r="AZ34" s="82"/>
      <c r="BA34" s="82"/>
      <c r="BB34" s="82"/>
      <c r="BC34">
        <v>1</v>
      </c>
      <c r="BD34" s="81" t="str">
        <f>REPLACE(INDEX(GroupVertices[Group],MATCH(Edges[[#This Row],[Vertex 1]],GroupVertices[Vertex],0)),1,1,"")</f>
        <v>18</v>
      </c>
      <c r="BE34" s="81" t="str">
        <f>REPLACE(INDEX(GroupVertices[Group],MATCH(Edges[[#This Row],[Vertex 2]],GroupVertices[Vertex],0)),1,1,"")</f>
        <v>18</v>
      </c>
      <c r="BF34" s="49">
        <v>0</v>
      </c>
      <c r="BG34" s="50">
        <v>0</v>
      </c>
      <c r="BH34" s="49">
        <v>1</v>
      </c>
      <c r="BI34" s="50">
        <v>3.0303030303030303</v>
      </c>
      <c r="BJ34" s="49">
        <v>0</v>
      </c>
      <c r="BK34" s="50">
        <v>0</v>
      </c>
      <c r="BL34" s="49">
        <v>32</v>
      </c>
      <c r="BM34" s="50">
        <v>96.96969696969697</v>
      </c>
      <c r="BN34" s="49">
        <v>33</v>
      </c>
    </row>
    <row r="35" spans="1:66" ht="15">
      <c r="A35" s="66" t="s">
        <v>263</v>
      </c>
      <c r="B35" s="66" t="s">
        <v>274</v>
      </c>
      <c r="C35" s="67" t="s">
        <v>2139</v>
      </c>
      <c r="D35" s="68">
        <v>3</v>
      </c>
      <c r="E35" s="69" t="s">
        <v>132</v>
      </c>
      <c r="F35" s="70">
        <v>32</v>
      </c>
      <c r="G35" s="67"/>
      <c r="H35" s="71"/>
      <c r="I35" s="72"/>
      <c r="J35" s="72"/>
      <c r="K35" s="35" t="s">
        <v>65</v>
      </c>
      <c r="L35" s="80">
        <v>35</v>
      </c>
      <c r="M35" s="80"/>
      <c r="N35" s="74"/>
      <c r="O35" s="82" t="s">
        <v>329</v>
      </c>
      <c r="P35" s="84">
        <v>44723.45068287037</v>
      </c>
      <c r="Q35" s="82" t="s">
        <v>335</v>
      </c>
      <c r="R35" s="85" t="str">
        <f>HYPERLINK("https://www.caughtbytheriver.net/2022/06/what-remains-rupert-callender-launch-event/")</f>
        <v>https://www.caughtbytheriver.net/2022/06/what-remains-rupert-callender-launch-event/</v>
      </c>
      <c r="S35" s="82" t="s">
        <v>522</v>
      </c>
      <c r="T35" s="82"/>
      <c r="U35" s="85" t="str">
        <f>HYPERLINK("https://pbs.twimg.com/media/FU6OU2PWAAAchwH.jpg")</f>
        <v>https://pbs.twimg.com/media/FU6OU2PWAAAchwH.jpg</v>
      </c>
      <c r="V35" s="85" t="str">
        <f>HYPERLINK("https://pbs.twimg.com/media/FU6OU2PWAAAchwH.jpg")</f>
        <v>https://pbs.twimg.com/media/FU6OU2PWAAAchwH.jpg</v>
      </c>
      <c r="W35" s="84">
        <v>44723.45068287037</v>
      </c>
      <c r="X35" s="89">
        <v>44723</v>
      </c>
      <c r="Y35" s="87" t="s">
        <v>554</v>
      </c>
      <c r="Z35" s="85" t="str">
        <f>HYPERLINK("https://twitter.com/l13liw/status/1535574813405859842")</f>
        <v>https://twitter.com/l13liw/status/1535574813405859842</v>
      </c>
      <c r="AA35" s="82"/>
      <c r="AB35" s="82"/>
      <c r="AC35" s="87" t="s">
        <v>743</v>
      </c>
      <c r="AD35" s="82"/>
      <c r="AE35" s="82" t="b">
        <v>0</v>
      </c>
      <c r="AF35" s="82">
        <v>0</v>
      </c>
      <c r="AG35" s="87" t="s">
        <v>957</v>
      </c>
      <c r="AH35" s="82" t="b">
        <v>0</v>
      </c>
      <c r="AI35" s="82" t="s">
        <v>973</v>
      </c>
      <c r="AJ35" s="82"/>
      <c r="AK35" s="87" t="s">
        <v>957</v>
      </c>
      <c r="AL35" s="82" t="b">
        <v>0</v>
      </c>
      <c r="AM35" s="82">
        <v>6</v>
      </c>
      <c r="AN35" s="87" t="s">
        <v>758</v>
      </c>
      <c r="AO35" s="87" t="s">
        <v>977</v>
      </c>
      <c r="AP35" s="82" t="b">
        <v>0</v>
      </c>
      <c r="AQ35" s="87" t="s">
        <v>758</v>
      </c>
      <c r="AR35" s="82" t="s">
        <v>211</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6" t="s">
        <v>263</v>
      </c>
      <c r="B36" s="66" t="s">
        <v>273</v>
      </c>
      <c r="C36" s="67" t="s">
        <v>2139</v>
      </c>
      <c r="D36" s="68">
        <v>3</v>
      </c>
      <c r="E36" s="69" t="s">
        <v>132</v>
      </c>
      <c r="F36" s="70">
        <v>32</v>
      </c>
      <c r="G36" s="67"/>
      <c r="H36" s="71"/>
      <c r="I36" s="72"/>
      <c r="J36" s="72"/>
      <c r="K36" s="35" t="s">
        <v>65</v>
      </c>
      <c r="L36" s="80">
        <v>36</v>
      </c>
      <c r="M36" s="80"/>
      <c r="N36" s="74"/>
      <c r="O36" s="82" t="s">
        <v>329</v>
      </c>
      <c r="P36" s="84">
        <v>44723.45068287037</v>
      </c>
      <c r="Q36" s="82" t="s">
        <v>335</v>
      </c>
      <c r="R36" s="85" t="str">
        <f>HYPERLINK("https://www.caughtbytheriver.net/2022/06/what-remains-rupert-callender-launch-event/")</f>
        <v>https://www.caughtbytheriver.net/2022/06/what-remains-rupert-callender-launch-event/</v>
      </c>
      <c r="S36" s="82" t="s">
        <v>522</v>
      </c>
      <c r="T36" s="82"/>
      <c r="U36" s="85" t="str">
        <f>HYPERLINK("https://pbs.twimg.com/media/FU6OU2PWAAAchwH.jpg")</f>
        <v>https://pbs.twimg.com/media/FU6OU2PWAAAchwH.jpg</v>
      </c>
      <c r="V36" s="85" t="str">
        <f>HYPERLINK("https://pbs.twimg.com/media/FU6OU2PWAAAchwH.jpg")</f>
        <v>https://pbs.twimg.com/media/FU6OU2PWAAAchwH.jpg</v>
      </c>
      <c r="W36" s="84">
        <v>44723.45068287037</v>
      </c>
      <c r="X36" s="89">
        <v>44723</v>
      </c>
      <c r="Y36" s="87" t="s">
        <v>554</v>
      </c>
      <c r="Z36" s="85" t="str">
        <f>HYPERLINK("https://twitter.com/l13liw/status/1535574813405859842")</f>
        <v>https://twitter.com/l13liw/status/1535574813405859842</v>
      </c>
      <c r="AA36" s="82"/>
      <c r="AB36" s="82"/>
      <c r="AC36" s="87" t="s">
        <v>743</v>
      </c>
      <c r="AD36" s="82"/>
      <c r="AE36" s="82" t="b">
        <v>0</v>
      </c>
      <c r="AF36" s="82">
        <v>0</v>
      </c>
      <c r="AG36" s="87" t="s">
        <v>957</v>
      </c>
      <c r="AH36" s="82" t="b">
        <v>0</v>
      </c>
      <c r="AI36" s="82" t="s">
        <v>973</v>
      </c>
      <c r="AJ36" s="82"/>
      <c r="AK36" s="87" t="s">
        <v>957</v>
      </c>
      <c r="AL36" s="82" t="b">
        <v>0</v>
      </c>
      <c r="AM36" s="82">
        <v>6</v>
      </c>
      <c r="AN36" s="87" t="s">
        <v>758</v>
      </c>
      <c r="AO36" s="87" t="s">
        <v>977</v>
      </c>
      <c r="AP36" s="82" t="b">
        <v>0</v>
      </c>
      <c r="AQ36" s="87" t="s">
        <v>758</v>
      </c>
      <c r="AR36" s="82" t="s">
        <v>211</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6" t="s">
        <v>263</v>
      </c>
      <c r="B37" s="66" t="s">
        <v>275</v>
      </c>
      <c r="C37" s="67" t="s">
        <v>2139</v>
      </c>
      <c r="D37" s="68">
        <v>3</v>
      </c>
      <c r="E37" s="69" t="s">
        <v>132</v>
      </c>
      <c r="F37" s="70">
        <v>32</v>
      </c>
      <c r="G37" s="67"/>
      <c r="H37" s="71"/>
      <c r="I37" s="72"/>
      <c r="J37" s="72"/>
      <c r="K37" s="35" t="s">
        <v>65</v>
      </c>
      <c r="L37" s="80">
        <v>37</v>
      </c>
      <c r="M37" s="80"/>
      <c r="N37" s="74"/>
      <c r="O37" s="82" t="s">
        <v>330</v>
      </c>
      <c r="P37" s="84">
        <v>44723.45068287037</v>
      </c>
      <c r="Q37" s="82" t="s">
        <v>335</v>
      </c>
      <c r="R37" s="85" t="str">
        <f>HYPERLINK("https://www.caughtbytheriver.net/2022/06/what-remains-rupert-callender-launch-event/")</f>
        <v>https://www.caughtbytheriver.net/2022/06/what-remains-rupert-callender-launch-event/</v>
      </c>
      <c r="S37" s="82" t="s">
        <v>522</v>
      </c>
      <c r="T37" s="82"/>
      <c r="U37" s="85" t="str">
        <f>HYPERLINK("https://pbs.twimg.com/media/FU6OU2PWAAAchwH.jpg")</f>
        <v>https://pbs.twimg.com/media/FU6OU2PWAAAchwH.jpg</v>
      </c>
      <c r="V37" s="85" t="str">
        <f>HYPERLINK("https://pbs.twimg.com/media/FU6OU2PWAAAchwH.jpg")</f>
        <v>https://pbs.twimg.com/media/FU6OU2PWAAAchwH.jpg</v>
      </c>
      <c r="W37" s="84">
        <v>44723.45068287037</v>
      </c>
      <c r="X37" s="89">
        <v>44723</v>
      </c>
      <c r="Y37" s="87" t="s">
        <v>554</v>
      </c>
      <c r="Z37" s="85" t="str">
        <f>HYPERLINK("https://twitter.com/l13liw/status/1535574813405859842")</f>
        <v>https://twitter.com/l13liw/status/1535574813405859842</v>
      </c>
      <c r="AA37" s="82"/>
      <c r="AB37" s="82"/>
      <c r="AC37" s="87" t="s">
        <v>743</v>
      </c>
      <c r="AD37" s="82"/>
      <c r="AE37" s="82" t="b">
        <v>0</v>
      </c>
      <c r="AF37" s="82">
        <v>0</v>
      </c>
      <c r="AG37" s="87" t="s">
        <v>957</v>
      </c>
      <c r="AH37" s="82" t="b">
        <v>0</v>
      </c>
      <c r="AI37" s="82" t="s">
        <v>973</v>
      </c>
      <c r="AJ37" s="82"/>
      <c r="AK37" s="87" t="s">
        <v>957</v>
      </c>
      <c r="AL37" s="82" t="b">
        <v>0</v>
      </c>
      <c r="AM37" s="82">
        <v>6</v>
      </c>
      <c r="AN37" s="87" t="s">
        <v>758</v>
      </c>
      <c r="AO37" s="87" t="s">
        <v>977</v>
      </c>
      <c r="AP37" s="82" t="b">
        <v>0</v>
      </c>
      <c r="AQ37" s="87" t="s">
        <v>758</v>
      </c>
      <c r="AR37" s="82" t="s">
        <v>211</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1</v>
      </c>
      <c r="BG37" s="50">
        <v>2.5641025641025643</v>
      </c>
      <c r="BH37" s="49">
        <v>1</v>
      </c>
      <c r="BI37" s="50">
        <v>2.5641025641025643</v>
      </c>
      <c r="BJ37" s="49">
        <v>0</v>
      </c>
      <c r="BK37" s="50">
        <v>0</v>
      </c>
      <c r="BL37" s="49">
        <v>37</v>
      </c>
      <c r="BM37" s="50">
        <v>94.87179487179488</v>
      </c>
      <c r="BN37" s="49">
        <v>39</v>
      </c>
    </row>
    <row r="38" spans="1:66" ht="15">
      <c r="A38" s="66" t="s">
        <v>264</v>
      </c>
      <c r="B38" s="66" t="s">
        <v>274</v>
      </c>
      <c r="C38" s="67" t="s">
        <v>2139</v>
      </c>
      <c r="D38" s="68">
        <v>3</v>
      </c>
      <c r="E38" s="69" t="s">
        <v>132</v>
      </c>
      <c r="F38" s="70">
        <v>32</v>
      </c>
      <c r="G38" s="67"/>
      <c r="H38" s="71"/>
      <c r="I38" s="72"/>
      <c r="J38" s="72"/>
      <c r="K38" s="35" t="s">
        <v>65</v>
      </c>
      <c r="L38" s="80">
        <v>38</v>
      </c>
      <c r="M38" s="80"/>
      <c r="N38" s="74"/>
      <c r="O38" s="82" t="s">
        <v>329</v>
      </c>
      <c r="P38" s="84">
        <v>44723.46366898148</v>
      </c>
      <c r="Q38" s="82" t="s">
        <v>336</v>
      </c>
      <c r="R38" s="85" t="str">
        <f>HYPERLINK("https://twitter.com/tweetbytheriver/status/1535321437795500032")</f>
        <v>https://twitter.com/tweetbytheriver/status/1535321437795500032</v>
      </c>
      <c r="S38" s="82" t="s">
        <v>523</v>
      </c>
      <c r="T38" s="82"/>
      <c r="U38" s="82"/>
      <c r="V38" s="85" t="str">
        <f>HYPERLINK("https://pbs.twimg.com/profile_images/1281569835881836544/GSMpOvzB_normal.jpg")</f>
        <v>https://pbs.twimg.com/profile_images/1281569835881836544/GSMpOvzB_normal.jpg</v>
      </c>
      <c r="W38" s="84">
        <v>44723.46366898148</v>
      </c>
      <c r="X38" s="89">
        <v>44723</v>
      </c>
      <c r="Y38" s="87" t="s">
        <v>555</v>
      </c>
      <c r="Z38" s="85" t="str">
        <f>HYPERLINK("https://twitter.com/festival23cod/status/1535579516923428864")</f>
        <v>https://twitter.com/festival23cod/status/1535579516923428864</v>
      </c>
      <c r="AA38" s="82"/>
      <c r="AB38" s="82"/>
      <c r="AC38" s="87" t="s">
        <v>744</v>
      </c>
      <c r="AD38" s="82"/>
      <c r="AE38" s="82" t="b">
        <v>0</v>
      </c>
      <c r="AF38" s="82">
        <v>0</v>
      </c>
      <c r="AG38" s="87" t="s">
        <v>957</v>
      </c>
      <c r="AH38" s="82" t="b">
        <v>1</v>
      </c>
      <c r="AI38" s="82" t="s">
        <v>973</v>
      </c>
      <c r="AJ38" s="82"/>
      <c r="AK38" s="87" t="s">
        <v>758</v>
      </c>
      <c r="AL38" s="82" t="b">
        <v>0</v>
      </c>
      <c r="AM38" s="82">
        <v>6</v>
      </c>
      <c r="AN38" s="87" t="s">
        <v>756</v>
      </c>
      <c r="AO38" s="87" t="s">
        <v>976</v>
      </c>
      <c r="AP38" s="82" t="b">
        <v>0</v>
      </c>
      <c r="AQ38" s="87" t="s">
        <v>756</v>
      </c>
      <c r="AR38" s="82" t="s">
        <v>211</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6" t="s">
        <v>264</v>
      </c>
      <c r="B39" s="66" t="s">
        <v>275</v>
      </c>
      <c r="C39" s="67" t="s">
        <v>2139</v>
      </c>
      <c r="D39" s="68">
        <v>3</v>
      </c>
      <c r="E39" s="69" t="s">
        <v>132</v>
      </c>
      <c r="F39" s="70">
        <v>32</v>
      </c>
      <c r="G39" s="67"/>
      <c r="H39" s="71"/>
      <c r="I39" s="72"/>
      <c r="J39" s="72"/>
      <c r="K39" s="35" t="s">
        <v>65</v>
      </c>
      <c r="L39" s="80">
        <v>39</v>
      </c>
      <c r="M39" s="80"/>
      <c r="N39" s="74"/>
      <c r="O39" s="82" t="s">
        <v>329</v>
      </c>
      <c r="P39" s="84">
        <v>44723.46366898148</v>
      </c>
      <c r="Q39" s="82" t="s">
        <v>336</v>
      </c>
      <c r="R39" s="85" t="str">
        <f>HYPERLINK("https://twitter.com/tweetbytheriver/status/1535321437795500032")</f>
        <v>https://twitter.com/tweetbytheriver/status/1535321437795500032</v>
      </c>
      <c r="S39" s="82" t="s">
        <v>523</v>
      </c>
      <c r="T39" s="82"/>
      <c r="U39" s="82"/>
      <c r="V39" s="85" t="str">
        <f>HYPERLINK("https://pbs.twimg.com/profile_images/1281569835881836544/GSMpOvzB_normal.jpg")</f>
        <v>https://pbs.twimg.com/profile_images/1281569835881836544/GSMpOvzB_normal.jpg</v>
      </c>
      <c r="W39" s="84">
        <v>44723.46366898148</v>
      </c>
      <c r="X39" s="89">
        <v>44723</v>
      </c>
      <c r="Y39" s="87" t="s">
        <v>555</v>
      </c>
      <c r="Z39" s="85" t="str">
        <f>HYPERLINK("https://twitter.com/festival23cod/status/1535579516923428864")</f>
        <v>https://twitter.com/festival23cod/status/1535579516923428864</v>
      </c>
      <c r="AA39" s="82"/>
      <c r="AB39" s="82"/>
      <c r="AC39" s="87" t="s">
        <v>744</v>
      </c>
      <c r="AD39" s="82"/>
      <c r="AE39" s="82" t="b">
        <v>0</v>
      </c>
      <c r="AF39" s="82">
        <v>0</v>
      </c>
      <c r="AG39" s="87" t="s">
        <v>957</v>
      </c>
      <c r="AH39" s="82" t="b">
        <v>1</v>
      </c>
      <c r="AI39" s="82" t="s">
        <v>973</v>
      </c>
      <c r="AJ39" s="82"/>
      <c r="AK39" s="87" t="s">
        <v>758</v>
      </c>
      <c r="AL39" s="82" t="b">
        <v>0</v>
      </c>
      <c r="AM39" s="82">
        <v>6</v>
      </c>
      <c r="AN39" s="87" t="s">
        <v>756</v>
      </c>
      <c r="AO39" s="87" t="s">
        <v>976</v>
      </c>
      <c r="AP39" s="82" t="b">
        <v>0</v>
      </c>
      <c r="AQ39" s="87" t="s">
        <v>756</v>
      </c>
      <c r="AR39" s="82" t="s">
        <v>211</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6" t="s">
        <v>264</v>
      </c>
      <c r="B40" s="66" t="s">
        <v>273</v>
      </c>
      <c r="C40" s="67" t="s">
        <v>2139</v>
      </c>
      <c r="D40" s="68">
        <v>3</v>
      </c>
      <c r="E40" s="69" t="s">
        <v>132</v>
      </c>
      <c r="F40" s="70">
        <v>32</v>
      </c>
      <c r="G40" s="67"/>
      <c r="H40" s="71"/>
      <c r="I40" s="72"/>
      <c r="J40" s="72"/>
      <c r="K40" s="35" t="s">
        <v>65</v>
      </c>
      <c r="L40" s="80">
        <v>40</v>
      </c>
      <c r="M40" s="80"/>
      <c r="N40" s="74"/>
      <c r="O40" s="82" t="s">
        <v>330</v>
      </c>
      <c r="P40" s="84">
        <v>44723.46366898148</v>
      </c>
      <c r="Q40" s="82" t="s">
        <v>336</v>
      </c>
      <c r="R40" s="85" t="str">
        <f>HYPERLINK("https://twitter.com/tweetbytheriver/status/1535321437795500032")</f>
        <v>https://twitter.com/tweetbytheriver/status/1535321437795500032</v>
      </c>
      <c r="S40" s="82" t="s">
        <v>523</v>
      </c>
      <c r="T40" s="82"/>
      <c r="U40" s="82"/>
      <c r="V40" s="85" t="str">
        <f>HYPERLINK("https://pbs.twimg.com/profile_images/1281569835881836544/GSMpOvzB_normal.jpg")</f>
        <v>https://pbs.twimg.com/profile_images/1281569835881836544/GSMpOvzB_normal.jpg</v>
      </c>
      <c r="W40" s="84">
        <v>44723.46366898148</v>
      </c>
      <c r="X40" s="89">
        <v>44723</v>
      </c>
      <c r="Y40" s="87" t="s">
        <v>555</v>
      </c>
      <c r="Z40" s="85" t="str">
        <f>HYPERLINK("https://twitter.com/festival23cod/status/1535579516923428864")</f>
        <v>https://twitter.com/festival23cod/status/1535579516923428864</v>
      </c>
      <c r="AA40" s="82"/>
      <c r="AB40" s="82"/>
      <c r="AC40" s="87" t="s">
        <v>744</v>
      </c>
      <c r="AD40" s="82"/>
      <c r="AE40" s="82" t="b">
        <v>0</v>
      </c>
      <c r="AF40" s="82">
        <v>0</v>
      </c>
      <c r="AG40" s="87" t="s">
        <v>957</v>
      </c>
      <c r="AH40" s="82" t="b">
        <v>1</v>
      </c>
      <c r="AI40" s="82" t="s">
        <v>973</v>
      </c>
      <c r="AJ40" s="82"/>
      <c r="AK40" s="87" t="s">
        <v>758</v>
      </c>
      <c r="AL40" s="82" t="b">
        <v>0</v>
      </c>
      <c r="AM40" s="82">
        <v>6</v>
      </c>
      <c r="AN40" s="87" t="s">
        <v>756</v>
      </c>
      <c r="AO40" s="87" t="s">
        <v>976</v>
      </c>
      <c r="AP40" s="82" t="b">
        <v>0</v>
      </c>
      <c r="AQ40" s="87" t="s">
        <v>756</v>
      </c>
      <c r="AR40" s="82" t="s">
        <v>211</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3</v>
      </c>
      <c r="BG40" s="50">
        <v>17.647058823529413</v>
      </c>
      <c r="BH40" s="49">
        <v>0</v>
      </c>
      <c r="BI40" s="50">
        <v>0</v>
      </c>
      <c r="BJ40" s="49">
        <v>0</v>
      </c>
      <c r="BK40" s="50">
        <v>0</v>
      </c>
      <c r="BL40" s="49">
        <v>14</v>
      </c>
      <c r="BM40" s="50">
        <v>82.3529411764706</v>
      </c>
      <c r="BN40" s="49">
        <v>17</v>
      </c>
    </row>
    <row r="41" spans="1:66" ht="15">
      <c r="A41" s="66" t="s">
        <v>265</v>
      </c>
      <c r="B41" s="66" t="s">
        <v>266</v>
      </c>
      <c r="C41" s="67" t="s">
        <v>2139</v>
      </c>
      <c r="D41" s="68">
        <v>3</v>
      </c>
      <c r="E41" s="69" t="s">
        <v>132</v>
      </c>
      <c r="F41" s="70">
        <v>32</v>
      </c>
      <c r="G41" s="67"/>
      <c r="H41" s="71"/>
      <c r="I41" s="72"/>
      <c r="J41" s="72"/>
      <c r="K41" s="35" t="s">
        <v>66</v>
      </c>
      <c r="L41" s="80">
        <v>41</v>
      </c>
      <c r="M41" s="80"/>
      <c r="N41" s="74"/>
      <c r="O41" s="82" t="s">
        <v>330</v>
      </c>
      <c r="P41" s="84">
        <v>44722.39517361111</v>
      </c>
      <c r="Q41" s="82" t="s">
        <v>333</v>
      </c>
      <c r="R41" s="85" t="str">
        <f>HYPERLINK("https://www.northantstelegraph.co.uk/news/people/corby-art-and-music-maverick-bill-drummond-back-with-new-exhibition-3726882")</f>
        <v>https://www.northantstelegraph.co.uk/news/people/corby-art-and-music-maverick-bill-drummond-back-with-new-exhibition-3726882</v>
      </c>
      <c r="S41" s="82" t="s">
        <v>521</v>
      </c>
      <c r="T41" s="82"/>
      <c r="U41" s="82"/>
      <c r="V41" s="85" t="str">
        <f>HYPERLINK("https://pbs.twimg.com/profile_images/1154347431762583552/02c53hkG_normal.jpg")</f>
        <v>https://pbs.twimg.com/profile_images/1154347431762583552/02c53hkG_normal.jpg</v>
      </c>
      <c r="W41" s="84">
        <v>44722.39517361111</v>
      </c>
      <c r="X41" s="89">
        <v>44722</v>
      </c>
      <c r="Y41" s="87" t="s">
        <v>556</v>
      </c>
      <c r="Z41" s="85" t="str">
        <f>HYPERLINK("https://twitter.com/alisonbagley1/status/1535192306604711936")</f>
        <v>https://twitter.com/alisonbagley1/status/1535192306604711936</v>
      </c>
      <c r="AA41" s="82"/>
      <c r="AB41" s="82"/>
      <c r="AC41" s="87" t="s">
        <v>745</v>
      </c>
      <c r="AD41" s="82"/>
      <c r="AE41" s="82" t="b">
        <v>0</v>
      </c>
      <c r="AF41" s="82">
        <v>0</v>
      </c>
      <c r="AG41" s="87" t="s">
        <v>957</v>
      </c>
      <c r="AH41" s="82" t="b">
        <v>0</v>
      </c>
      <c r="AI41" s="82" t="s">
        <v>973</v>
      </c>
      <c r="AJ41" s="82"/>
      <c r="AK41" s="87" t="s">
        <v>957</v>
      </c>
      <c r="AL41" s="82" t="b">
        <v>0</v>
      </c>
      <c r="AM41" s="82">
        <v>4</v>
      </c>
      <c r="AN41" s="87" t="s">
        <v>746</v>
      </c>
      <c r="AO41" s="87" t="s">
        <v>976</v>
      </c>
      <c r="AP41" s="82" t="b">
        <v>0</v>
      </c>
      <c r="AQ41" s="87" t="s">
        <v>746</v>
      </c>
      <c r="AR41" s="82" t="s">
        <v>211</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v>1</v>
      </c>
      <c r="BG41" s="50">
        <v>5.555555555555555</v>
      </c>
      <c r="BH41" s="49">
        <v>0</v>
      </c>
      <c r="BI41" s="50">
        <v>0</v>
      </c>
      <c r="BJ41" s="49">
        <v>0</v>
      </c>
      <c r="BK41" s="50">
        <v>0</v>
      </c>
      <c r="BL41" s="49">
        <v>17</v>
      </c>
      <c r="BM41" s="50">
        <v>94.44444444444444</v>
      </c>
      <c r="BN41" s="49">
        <v>18</v>
      </c>
    </row>
    <row r="42" spans="1:66" ht="15">
      <c r="A42" s="66" t="s">
        <v>266</v>
      </c>
      <c r="B42" s="66" t="s">
        <v>265</v>
      </c>
      <c r="C42" s="67" t="s">
        <v>2139</v>
      </c>
      <c r="D42" s="68">
        <v>3</v>
      </c>
      <c r="E42" s="69" t="s">
        <v>132</v>
      </c>
      <c r="F42" s="70">
        <v>32</v>
      </c>
      <c r="G42" s="67"/>
      <c r="H42" s="71"/>
      <c r="I42" s="72"/>
      <c r="J42" s="72"/>
      <c r="K42" s="35" t="s">
        <v>66</v>
      </c>
      <c r="L42" s="80">
        <v>42</v>
      </c>
      <c r="M42" s="80"/>
      <c r="N42" s="74"/>
      <c r="O42" s="82" t="s">
        <v>331</v>
      </c>
      <c r="P42" s="84">
        <v>44722.392164351855</v>
      </c>
      <c r="Q42" s="82" t="s">
        <v>333</v>
      </c>
      <c r="R42" s="85" t="str">
        <f>HYPERLINK("https://www.northantstelegraph.co.uk/news/people/corby-art-and-music-maverick-bill-drummond-back-with-new-exhibition-3726882")</f>
        <v>https://www.northantstelegraph.co.uk/news/people/corby-art-and-music-maverick-bill-drummond-back-with-new-exhibition-3726882</v>
      </c>
      <c r="S42" s="82" t="s">
        <v>521</v>
      </c>
      <c r="T42" s="82"/>
      <c r="U42" s="82"/>
      <c r="V42" s="85" t="str">
        <f>HYPERLINK("https://pbs.twimg.com/profile_images/1406286973753610240/ghYt2Csv_normal.jpg")</f>
        <v>https://pbs.twimg.com/profile_images/1406286973753610240/ghYt2Csv_normal.jpg</v>
      </c>
      <c r="W42" s="84">
        <v>44722.392164351855</v>
      </c>
      <c r="X42" s="89">
        <v>44722</v>
      </c>
      <c r="Y42" s="87" t="s">
        <v>557</v>
      </c>
      <c r="Z42" s="85" t="str">
        <f>HYPERLINK("https://twitter.com/katie_cronin/status/1535191216064708608")</f>
        <v>https://twitter.com/katie_cronin/status/1535191216064708608</v>
      </c>
      <c r="AA42" s="82"/>
      <c r="AB42" s="82"/>
      <c r="AC42" s="87" t="s">
        <v>746</v>
      </c>
      <c r="AD42" s="82"/>
      <c r="AE42" s="82" t="b">
        <v>0</v>
      </c>
      <c r="AF42" s="82">
        <v>19</v>
      </c>
      <c r="AG42" s="87" t="s">
        <v>957</v>
      </c>
      <c r="AH42" s="82" t="b">
        <v>0</v>
      </c>
      <c r="AI42" s="82" t="s">
        <v>973</v>
      </c>
      <c r="AJ42" s="82"/>
      <c r="AK42" s="87" t="s">
        <v>957</v>
      </c>
      <c r="AL42" s="82" t="b">
        <v>0</v>
      </c>
      <c r="AM42" s="82">
        <v>4</v>
      </c>
      <c r="AN42" s="87" t="s">
        <v>957</v>
      </c>
      <c r="AO42" s="87" t="s">
        <v>978</v>
      </c>
      <c r="AP42" s="82" t="b">
        <v>0</v>
      </c>
      <c r="AQ42" s="87" t="s">
        <v>746</v>
      </c>
      <c r="AR42" s="82" t="s">
        <v>211</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1</v>
      </c>
      <c r="BG42" s="50">
        <v>5.555555555555555</v>
      </c>
      <c r="BH42" s="49">
        <v>0</v>
      </c>
      <c r="BI42" s="50">
        <v>0</v>
      </c>
      <c r="BJ42" s="49">
        <v>0</v>
      </c>
      <c r="BK42" s="50">
        <v>0</v>
      </c>
      <c r="BL42" s="49">
        <v>17</v>
      </c>
      <c r="BM42" s="50">
        <v>94.44444444444444</v>
      </c>
      <c r="BN42" s="49">
        <v>18</v>
      </c>
    </row>
    <row r="43" spans="1:66" ht="15">
      <c r="A43" s="66" t="s">
        <v>267</v>
      </c>
      <c r="B43" s="66" t="s">
        <v>267</v>
      </c>
      <c r="C43" s="67" t="s">
        <v>2139</v>
      </c>
      <c r="D43" s="68">
        <v>3</v>
      </c>
      <c r="E43" s="69" t="s">
        <v>132</v>
      </c>
      <c r="F43" s="70">
        <v>32</v>
      </c>
      <c r="G43" s="67"/>
      <c r="H43" s="71"/>
      <c r="I43" s="72"/>
      <c r="J43" s="72"/>
      <c r="K43" s="35" t="s">
        <v>65</v>
      </c>
      <c r="L43" s="80">
        <v>43</v>
      </c>
      <c r="M43" s="80"/>
      <c r="N43" s="74"/>
      <c r="O43" s="82" t="s">
        <v>211</v>
      </c>
      <c r="P43" s="84">
        <v>44722.39741898148</v>
      </c>
      <c r="Q43" s="82" t="s">
        <v>340</v>
      </c>
      <c r="R43" s="85" t="str">
        <f>HYPERLINK("https://www.upsmag.com/corby-art-and-music-maverick-bill-drummond-back-with-new-exhibition/")</f>
        <v>https://www.upsmag.com/corby-art-and-music-maverick-bill-drummond-back-with-new-exhibition/</v>
      </c>
      <c r="S43" s="82" t="s">
        <v>525</v>
      </c>
      <c r="T43" s="82"/>
      <c r="U43" s="82"/>
      <c r="V43" s="85" t="str">
        <f>HYPERLINK("https://pbs.twimg.com/profile_images/1521013641927139329/Z6bI4y2l_normal.jpg")</f>
        <v>https://pbs.twimg.com/profile_images/1521013641927139329/Z6bI4y2l_normal.jpg</v>
      </c>
      <c r="W43" s="84">
        <v>44722.39741898148</v>
      </c>
      <c r="X43" s="89">
        <v>44722</v>
      </c>
      <c r="Y43" s="87" t="s">
        <v>558</v>
      </c>
      <c r="Z43" s="85" t="str">
        <f>HYPERLINK("https://twitter.com/upsmagcom/status/1535193122375880704")</f>
        <v>https://twitter.com/upsmagcom/status/1535193122375880704</v>
      </c>
      <c r="AA43" s="82"/>
      <c r="AB43" s="82"/>
      <c r="AC43" s="87" t="s">
        <v>747</v>
      </c>
      <c r="AD43" s="82"/>
      <c r="AE43" s="82" t="b">
        <v>0</v>
      </c>
      <c r="AF43" s="82">
        <v>1</v>
      </c>
      <c r="AG43" s="87" t="s">
        <v>957</v>
      </c>
      <c r="AH43" s="82" t="b">
        <v>0</v>
      </c>
      <c r="AI43" s="82" t="s">
        <v>973</v>
      </c>
      <c r="AJ43" s="82"/>
      <c r="AK43" s="87" t="s">
        <v>957</v>
      </c>
      <c r="AL43" s="82" t="b">
        <v>0</v>
      </c>
      <c r="AM43" s="82">
        <v>0</v>
      </c>
      <c r="AN43" s="87" t="s">
        <v>957</v>
      </c>
      <c r="AO43" s="87" t="s">
        <v>980</v>
      </c>
      <c r="AP43" s="82" t="b">
        <v>0</v>
      </c>
      <c r="AQ43" s="87" t="s">
        <v>747</v>
      </c>
      <c r="AR43" s="82" t="s">
        <v>211</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0</v>
      </c>
      <c r="BG43" s="50">
        <v>0</v>
      </c>
      <c r="BH43" s="49">
        <v>0</v>
      </c>
      <c r="BI43" s="50">
        <v>0</v>
      </c>
      <c r="BJ43" s="49">
        <v>0</v>
      </c>
      <c r="BK43" s="50">
        <v>0</v>
      </c>
      <c r="BL43" s="49">
        <v>11</v>
      </c>
      <c r="BM43" s="50">
        <v>100</v>
      </c>
      <c r="BN43" s="49">
        <v>11</v>
      </c>
    </row>
    <row r="44" spans="1:66" ht="15">
      <c r="A44" s="66" t="s">
        <v>266</v>
      </c>
      <c r="B44" s="66" t="s">
        <v>267</v>
      </c>
      <c r="C44" s="67" t="s">
        <v>2139</v>
      </c>
      <c r="D44" s="68">
        <v>3</v>
      </c>
      <c r="E44" s="69" t="s">
        <v>132</v>
      </c>
      <c r="F44" s="70">
        <v>32</v>
      </c>
      <c r="G44" s="67"/>
      <c r="H44" s="71"/>
      <c r="I44" s="72"/>
      <c r="J44" s="72"/>
      <c r="K44" s="35" t="s">
        <v>65</v>
      </c>
      <c r="L44" s="80">
        <v>44</v>
      </c>
      <c r="M44" s="80"/>
      <c r="N44" s="74"/>
      <c r="O44" s="82" t="s">
        <v>332</v>
      </c>
      <c r="P44" s="84">
        <v>44723.50349537037</v>
      </c>
      <c r="Q44" s="82" t="s">
        <v>341</v>
      </c>
      <c r="R44" s="85" t="str">
        <f>HYPERLINK("https://www.northantstelegraph.co.uk/news/people/corby-art-and-music-maverick-bill-drummond-back-with-new-exhibition-3726882")</f>
        <v>https://www.northantstelegraph.co.uk/news/people/corby-art-and-music-maverick-bill-drummond-back-with-new-exhibition-3726882</v>
      </c>
      <c r="S44" s="82" t="s">
        <v>521</v>
      </c>
      <c r="T44" s="82"/>
      <c r="U44" s="82"/>
      <c r="V44" s="85" t="str">
        <f>HYPERLINK("https://pbs.twimg.com/profile_images/1406286973753610240/ghYt2Csv_normal.jpg")</f>
        <v>https://pbs.twimg.com/profile_images/1406286973753610240/ghYt2Csv_normal.jpg</v>
      </c>
      <c r="W44" s="84">
        <v>44723.50349537037</v>
      </c>
      <c r="X44" s="89">
        <v>44723</v>
      </c>
      <c r="Y44" s="87" t="s">
        <v>559</v>
      </c>
      <c r="Z44" s="85" t="str">
        <f>HYPERLINK("https://twitter.com/katie_cronin/status/1535593950177796097")</f>
        <v>https://twitter.com/katie_cronin/status/1535593950177796097</v>
      </c>
      <c r="AA44" s="82"/>
      <c r="AB44" s="82"/>
      <c r="AC44" s="87" t="s">
        <v>748</v>
      </c>
      <c r="AD44" s="87" t="s">
        <v>747</v>
      </c>
      <c r="AE44" s="82" t="b">
        <v>0</v>
      </c>
      <c r="AF44" s="82">
        <v>0</v>
      </c>
      <c r="AG44" s="87" t="s">
        <v>958</v>
      </c>
      <c r="AH44" s="82" t="b">
        <v>0</v>
      </c>
      <c r="AI44" s="82" t="s">
        <v>973</v>
      </c>
      <c r="AJ44" s="82"/>
      <c r="AK44" s="87" t="s">
        <v>957</v>
      </c>
      <c r="AL44" s="82" t="b">
        <v>0</v>
      </c>
      <c r="AM44" s="82">
        <v>0</v>
      </c>
      <c r="AN44" s="87" t="s">
        <v>957</v>
      </c>
      <c r="AO44" s="87" t="s">
        <v>977</v>
      </c>
      <c r="AP44" s="82" t="b">
        <v>0</v>
      </c>
      <c r="AQ44" s="87" t="s">
        <v>747</v>
      </c>
      <c r="AR44" s="82" t="s">
        <v>211</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v>0</v>
      </c>
      <c r="BG44" s="50">
        <v>0</v>
      </c>
      <c r="BH44" s="49">
        <v>1</v>
      </c>
      <c r="BI44" s="50">
        <v>8.333333333333334</v>
      </c>
      <c r="BJ44" s="49">
        <v>0</v>
      </c>
      <c r="BK44" s="50">
        <v>0</v>
      </c>
      <c r="BL44" s="49">
        <v>11</v>
      </c>
      <c r="BM44" s="50">
        <v>91.66666666666667</v>
      </c>
      <c r="BN44" s="49">
        <v>12</v>
      </c>
    </row>
    <row r="45" spans="1:66" ht="15">
      <c r="A45" s="66" t="s">
        <v>268</v>
      </c>
      <c r="B45" s="66" t="s">
        <v>268</v>
      </c>
      <c r="C45" s="67" t="s">
        <v>2139</v>
      </c>
      <c r="D45" s="68">
        <v>3</v>
      </c>
      <c r="E45" s="69" t="s">
        <v>132</v>
      </c>
      <c r="F45" s="70">
        <v>32</v>
      </c>
      <c r="G45" s="67"/>
      <c r="H45" s="71"/>
      <c r="I45" s="72"/>
      <c r="J45" s="72"/>
      <c r="K45" s="35" t="s">
        <v>65</v>
      </c>
      <c r="L45" s="80">
        <v>45</v>
      </c>
      <c r="M45" s="80"/>
      <c r="N45" s="74"/>
      <c r="O45" s="82" t="s">
        <v>211</v>
      </c>
      <c r="P45" s="84">
        <v>44723.64099537037</v>
      </c>
      <c r="Q45" s="82" t="s">
        <v>342</v>
      </c>
      <c r="R45" s="85" t="str">
        <f>HYPERLINK("https://mailchi.mp/4b5bf37023e6/june-newsletter-20267077")</f>
        <v>https://mailchi.mp/4b5bf37023e6/june-newsletter-20267077</v>
      </c>
      <c r="S45" s="82" t="s">
        <v>526</v>
      </c>
      <c r="T45" s="87" t="s">
        <v>535</v>
      </c>
      <c r="U45" s="85" t="str">
        <f>HYPERLINK("https://pbs.twimg.com/media/FU-z37JWIAAX6iv.jpg")</f>
        <v>https://pbs.twimg.com/media/FU-z37JWIAAX6iv.jpg</v>
      </c>
      <c r="V45" s="85" t="str">
        <f>HYPERLINK("https://pbs.twimg.com/media/FU-z37JWIAAX6iv.jpg")</f>
        <v>https://pbs.twimg.com/media/FU-z37JWIAAX6iv.jpg</v>
      </c>
      <c r="W45" s="84">
        <v>44723.64099537037</v>
      </c>
      <c r="X45" s="89">
        <v>44723</v>
      </c>
      <c r="Y45" s="87" t="s">
        <v>560</v>
      </c>
      <c r="Z45" s="85" t="str">
        <f>HYPERLINK("https://twitter.com/rooftopcorby/status/1535643780099018753")</f>
        <v>https://twitter.com/rooftopcorby/status/1535643780099018753</v>
      </c>
      <c r="AA45" s="82"/>
      <c r="AB45" s="82"/>
      <c r="AC45" s="87" t="s">
        <v>749</v>
      </c>
      <c r="AD45" s="82"/>
      <c r="AE45" s="82" t="b">
        <v>0</v>
      </c>
      <c r="AF45" s="82">
        <v>3</v>
      </c>
      <c r="AG45" s="87" t="s">
        <v>957</v>
      </c>
      <c r="AH45" s="82" t="b">
        <v>0</v>
      </c>
      <c r="AI45" s="82" t="s">
        <v>973</v>
      </c>
      <c r="AJ45" s="82"/>
      <c r="AK45" s="87" t="s">
        <v>957</v>
      </c>
      <c r="AL45" s="82" t="b">
        <v>0</v>
      </c>
      <c r="AM45" s="82">
        <v>0</v>
      </c>
      <c r="AN45" s="87" t="s">
        <v>957</v>
      </c>
      <c r="AO45" s="87" t="s">
        <v>981</v>
      </c>
      <c r="AP45" s="82" t="b">
        <v>0</v>
      </c>
      <c r="AQ45" s="87" t="s">
        <v>749</v>
      </c>
      <c r="AR45" s="82" t="s">
        <v>211</v>
      </c>
      <c r="AS45" s="82">
        <v>0</v>
      </c>
      <c r="AT45" s="82">
        <v>0</v>
      </c>
      <c r="AU45" s="82"/>
      <c r="AV45" s="82"/>
      <c r="AW45" s="82"/>
      <c r="AX45" s="82"/>
      <c r="AY45" s="82"/>
      <c r="AZ45" s="82"/>
      <c r="BA45" s="82"/>
      <c r="BB45" s="82"/>
      <c r="BC45">
        <v>1</v>
      </c>
      <c r="BD45" s="81" t="str">
        <f>REPLACE(INDEX(GroupVertices[Group],MATCH(Edges[[#This Row],[Vertex 1]],GroupVertices[Vertex],0)),1,1,"")</f>
        <v>18</v>
      </c>
      <c r="BE45" s="81" t="str">
        <f>REPLACE(INDEX(GroupVertices[Group],MATCH(Edges[[#This Row],[Vertex 2]],GroupVertices[Vertex],0)),1,1,"")</f>
        <v>18</v>
      </c>
      <c r="BF45" s="49">
        <v>1</v>
      </c>
      <c r="BG45" s="50">
        <v>2.7777777777777777</v>
      </c>
      <c r="BH45" s="49">
        <v>0</v>
      </c>
      <c r="BI45" s="50">
        <v>0</v>
      </c>
      <c r="BJ45" s="49">
        <v>0</v>
      </c>
      <c r="BK45" s="50">
        <v>0</v>
      </c>
      <c r="BL45" s="49">
        <v>35</v>
      </c>
      <c r="BM45" s="50">
        <v>97.22222222222223</v>
      </c>
      <c r="BN45" s="49">
        <v>36</v>
      </c>
    </row>
    <row r="46" spans="1:66" ht="15">
      <c r="A46" s="66" t="s">
        <v>269</v>
      </c>
      <c r="B46" s="66" t="s">
        <v>307</v>
      </c>
      <c r="C46" s="67" t="s">
        <v>2139</v>
      </c>
      <c r="D46" s="68">
        <v>3</v>
      </c>
      <c r="E46" s="69" t="s">
        <v>132</v>
      </c>
      <c r="F46" s="70">
        <v>32</v>
      </c>
      <c r="G46" s="67"/>
      <c r="H46" s="71"/>
      <c r="I46" s="72"/>
      <c r="J46" s="72"/>
      <c r="K46" s="35" t="s">
        <v>65</v>
      </c>
      <c r="L46" s="80">
        <v>46</v>
      </c>
      <c r="M46" s="80"/>
      <c r="N46" s="74"/>
      <c r="O46" s="82" t="s">
        <v>331</v>
      </c>
      <c r="P46" s="84">
        <v>44724.38679398148</v>
      </c>
      <c r="Q46" s="82" t="s">
        <v>343</v>
      </c>
      <c r="R46" s="85" t="str">
        <f>HYPERLINK("https://wholehoggblog.wordpress.com/2022/06/12/word-65/")</f>
        <v>https://wholehoggblog.wordpress.com/2022/06/12/word-65/</v>
      </c>
      <c r="S46" s="82" t="s">
        <v>527</v>
      </c>
      <c r="T46" s="82"/>
      <c r="U46" s="82"/>
      <c r="V46" s="85" t="str">
        <f>HYPERLINK("https://pbs.twimg.com/profile_images/1281650701660295168/rNLcuGMu_normal.jpg")</f>
        <v>https://pbs.twimg.com/profile_images/1281650701660295168/rNLcuGMu_normal.jpg</v>
      </c>
      <c r="W46" s="84">
        <v>44724.38679398148</v>
      </c>
      <c r="X46" s="89">
        <v>44724</v>
      </c>
      <c r="Y46" s="87" t="s">
        <v>561</v>
      </c>
      <c r="Z46" s="85" t="str">
        <f>HYPERLINK("https://twitter.com/wholehogg/status/1535914048507740161")</f>
        <v>https://twitter.com/wholehogg/status/1535914048507740161</v>
      </c>
      <c r="AA46" s="82"/>
      <c r="AB46" s="82"/>
      <c r="AC46" s="87" t="s">
        <v>750</v>
      </c>
      <c r="AD46" s="82"/>
      <c r="AE46" s="82" t="b">
        <v>0</v>
      </c>
      <c r="AF46" s="82">
        <v>2</v>
      </c>
      <c r="AG46" s="87" t="s">
        <v>957</v>
      </c>
      <c r="AH46" s="82" t="b">
        <v>0</v>
      </c>
      <c r="AI46" s="82" t="s">
        <v>973</v>
      </c>
      <c r="AJ46" s="82"/>
      <c r="AK46" s="87" t="s">
        <v>957</v>
      </c>
      <c r="AL46" s="82" t="b">
        <v>0</v>
      </c>
      <c r="AM46" s="82">
        <v>1</v>
      </c>
      <c r="AN46" s="87" t="s">
        <v>957</v>
      </c>
      <c r="AO46" s="87" t="s">
        <v>978</v>
      </c>
      <c r="AP46" s="82" t="b">
        <v>0</v>
      </c>
      <c r="AQ46" s="87" t="s">
        <v>750</v>
      </c>
      <c r="AR46" s="82" t="s">
        <v>211</v>
      </c>
      <c r="AS46" s="82">
        <v>0</v>
      </c>
      <c r="AT46" s="82">
        <v>0</v>
      </c>
      <c r="AU46" s="82"/>
      <c r="AV46" s="82"/>
      <c r="AW46" s="82"/>
      <c r="AX46" s="82"/>
      <c r="AY46" s="82"/>
      <c r="AZ46" s="82"/>
      <c r="BA46" s="82"/>
      <c r="BB46" s="82"/>
      <c r="BC46">
        <v>1</v>
      </c>
      <c r="BD46" s="81" t="str">
        <f>REPLACE(INDEX(GroupVertices[Group],MATCH(Edges[[#This Row],[Vertex 1]],GroupVertices[Vertex],0)),1,1,"")</f>
        <v>10</v>
      </c>
      <c r="BE46" s="81" t="str">
        <f>REPLACE(INDEX(GroupVertices[Group],MATCH(Edges[[#This Row],[Vertex 2]],GroupVertices[Vertex],0)),1,1,"")</f>
        <v>10</v>
      </c>
      <c r="BF46" s="49">
        <v>1</v>
      </c>
      <c r="BG46" s="50">
        <v>5.882352941176471</v>
      </c>
      <c r="BH46" s="49">
        <v>1</v>
      </c>
      <c r="BI46" s="50">
        <v>5.882352941176471</v>
      </c>
      <c r="BJ46" s="49">
        <v>0</v>
      </c>
      <c r="BK46" s="50">
        <v>0</v>
      </c>
      <c r="BL46" s="49">
        <v>15</v>
      </c>
      <c r="BM46" s="50">
        <v>88.23529411764706</v>
      </c>
      <c r="BN46" s="49">
        <v>17</v>
      </c>
    </row>
    <row r="47" spans="1:66" ht="15">
      <c r="A47" s="66" t="s">
        <v>270</v>
      </c>
      <c r="B47" s="66" t="s">
        <v>307</v>
      </c>
      <c r="C47" s="67" t="s">
        <v>2139</v>
      </c>
      <c r="D47" s="68">
        <v>3</v>
      </c>
      <c r="E47" s="69" t="s">
        <v>132</v>
      </c>
      <c r="F47" s="70">
        <v>32</v>
      </c>
      <c r="G47" s="67"/>
      <c r="H47" s="71"/>
      <c r="I47" s="72"/>
      <c r="J47" s="72"/>
      <c r="K47" s="35" t="s">
        <v>65</v>
      </c>
      <c r="L47" s="80">
        <v>47</v>
      </c>
      <c r="M47" s="80"/>
      <c r="N47" s="74"/>
      <c r="O47" s="82" t="s">
        <v>329</v>
      </c>
      <c r="P47" s="84">
        <v>44724.38789351852</v>
      </c>
      <c r="Q47" s="82" t="s">
        <v>343</v>
      </c>
      <c r="R47" s="85" t="str">
        <f>HYPERLINK("https://wholehoggblog.wordpress.com/2022/06/12/word-65/")</f>
        <v>https://wholehoggblog.wordpress.com/2022/06/12/word-65/</v>
      </c>
      <c r="S47" s="82" t="s">
        <v>527</v>
      </c>
      <c r="T47" s="82"/>
      <c r="U47" s="82"/>
      <c r="V47" s="85" t="str">
        <f>HYPERLINK("https://pbs.twimg.com/profile_images/1505326560949190658/Kh6q-Xqp_normal.jpg")</f>
        <v>https://pbs.twimg.com/profile_images/1505326560949190658/Kh6q-Xqp_normal.jpg</v>
      </c>
      <c r="W47" s="84">
        <v>44724.38789351852</v>
      </c>
      <c r="X47" s="89">
        <v>44724</v>
      </c>
      <c r="Y47" s="87" t="s">
        <v>562</v>
      </c>
      <c r="Z47" s="85" t="str">
        <f>HYPERLINK("https://twitter.com/nigetassell/status/1535914445620367360")</f>
        <v>https://twitter.com/nigetassell/status/1535914445620367360</v>
      </c>
      <c r="AA47" s="82"/>
      <c r="AB47" s="82"/>
      <c r="AC47" s="87" t="s">
        <v>751</v>
      </c>
      <c r="AD47" s="82"/>
      <c r="AE47" s="82" t="b">
        <v>0</v>
      </c>
      <c r="AF47" s="82">
        <v>0</v>
      </c>
      <c r="AG47" s="87" t="s">
        <v>957</v>
      </c>
      <c r="AH47" s="82" t="b">
        <v>0</v>
      </c>
      <c r="AI47" s="82" t="s">
        <v>973</v>
      </c>
      <c r="AJ47" s="82"/>
      <c r="AK47" s="87" t="s">
        <v>957</v>
      </c>
      <c r="AL47" s="82" t="b">
        <v>0</v>
      </c>
      <c r="AM47" s="82">
        <v>1</v>
      </c>
      <c r="AN47" s="87" t="s">
        <v>750</v>
      </c>
      <c r="AO47" s="87" t="s">
        <v>976</v>
      </c>
      <c r="AP47" s="82" t="b">
        <v>0</v>
      </c>
      <c r="AQ47" s="87" t="s">
        <v>750</v>
      </c>
      <c r="AR47" s="82" t="s">
        <v>211</v>
      </c>
      <c r="AS47" s="82">
        <v>0</v>
      </c>
      <c r="AT47" s="82">
        <v>0</v>
      </c>
      <c r="AU47" s="82"/>
      <c r="AV47" s="82"/>
      <c r="AW47" s="82"/>
      <c r="AX47" s="82"/>
      <c r="AY47" s="82"/>
      <c r="AZ47" s="82"/>
      <c r="BA47" s="82"/>
      <c r="BB47" s="82"/>
      <c r="BC47">
        <v>1</v>
      </c>
      <c r="BD47" s="81" t="str">
        <f>REPLACE(INDEX(GroupVertices[Group],MATCH(Edges[[#This Row],[Vertex 1]],GroupVertices[Vertex],0)),1,1,"")</f>
        <v>10</v>
      </c>
      <c r="BE47" s="81" t="str">
        <f>REPLACE(INDEX(GroupVertices[Group],MATCH(Edges[[#This Row],[Vertex 2]],GroupVertices[Vertex],0)),1,1,"")</f>
        <v>10</v>
      </c>
      <c r="BF47" s="49"/>
      <c r="BG47" s="50"/>
      <c r="BH47" s="49"/>
      <c r="BI47" s="50"/>
      <c r="BJ47" s="49"/>
      <c r="BK47" s="50"/>
      <c r="BL47" s="49"/>
      <c r="BM47" s="50"/>
      <c r="BN47" s="49"/>
    </row>
    <row r="48" spans="1:66" ht="15">
      <c r="A48" s="66" t="s">
        <v>270</v>
      </c>
      <c r="B48" s="66" t="s">
        <v>269</v>
      </c>
      <c r="C48" s="67" t="s">
        <v>2139</v>
      </c>
      <c r="D48" s="68">
        <v>3</v>
      </c>
      <c r="E48" s="69" t="s">
        <v>132</v>
      </c>
      <c r="F48" s="70">
        <v>32</v>
      </c>
      <c r="G48" s="67"/>
      <c r="H48" s="71"/>
      <c r="I48" s="72"/>
      <c r="J48" s="72"/>
      <c r="K48" s="35" t="s">
        <v>65</v>
      </c>
      <c r="L48" s="80">
        <v>48</v>
      </c>
      <c r="M48" s="80"/>
      <c r="N48" s="74"/>
      <c r="O48" s="82" t="s">
        <v>330</v>
      </c>
      <c r="P48" s="84">
        <v>44724.38789351852</v>
      </c>
      <c r="Q48" s="82" t="s">
        <v>343</v>
      </c>
      <c r="R48" s="85" t="str">
        <f>HYPERLINK("https://wholehoggblog.wordpress.com/2022/06/12/word-65/")</f>
        <v>https://wholehoggblog.wordpress.com/2022/06/12/word-65/</v>
      </c>
      <c r="S48" s="82" t="s">
        <v>527</v>
      </c>
      <c r="T48" s="82"/>
      <c r="U48" s="82"/>
      <c r="V48" s="85" t="str">
        <f>HYPERLINK("https://pbs.twimg.com/profile_images/1505326560949190658/Kh6q-Xqp_normal.jpg")</f>
        <v>https://pbs.twimg.com/profile_images/1505326560949190658/Kh6q-Xqp_normal.jpg</v>
      </c>
      <c r="W48" s="84">
        <v>44724.38789351852</v>
      </c>
      <c r="X48" s="89">
        <v>44724</v>
      </c>
      <c r="Y48" s="87" t="s">
        <v>562</v>
      </c>
      <c r="Z48" s="85" t="str">
        <f>HYPERLINK("https://twitter.com/nigetassell/status/1535914445620367360")</f>
        <v>https://twitter.com/nigetassell/status/1535914445620367360</v>
      </c>
      <c r="AA48" s="82"/>
      <c r="AB48" s="82"/>
      <c r="AC48" s="87" t="s">
        <v>751</v>
      </c>
      <c r="AD48" s="82"/>
      <c r="AE48" s="82" t="b">
        <v>0</v>
      </c>
      <c r="AF48" s="82">
        <v>0</v>
      </c>
      <c r="AG48" s="87" t="s">
        <v>957</v>
      </c>
      <c r="AH48" s="82" t="b">
        <v>0</v>
      </c>
      <c r="AI48" s="82" t="s">
        <v>973</v>
      </c>
      <c r="AJ48" s="82"/>
      <c r="AK48" s="87" t="s">
        <v>957</v>
      </c>
      <c r="AL48" s="82" t="b">
        <v>0</v>
      </c>
      <c r="AM48" s="82">
        <v>1</v>
      </c>
      <c r="AN48" s="87" t="s">
        <v>750</v>
      </c>
      <c r="AO48" s="87" t="s">
        <v>976</v>
      </c>
      <c r="AP48" s="82" t="b">
        <v>0</v>
      </c>
      <c r="AQ48" s="87" t="s">
        <v>750</v>
      </c>
      <c r="AR48" s="82" t="s">
        <v>211</v>
      </c>
      <c r="AS48" s="82">
        <v>0</v>
      </c>
      <c r="AT48" s="82">
        <v>0</v>
      </c>
      <c r="AU48" s="82"/>
      <c r="AV48" s="82"/>
      <c r="AW48" s="82"/>
      <c r="AX48" s="82"/>
      <c r="AY48" s="82"/>
      <c r="AZ48" s="82"/>
      <c r="BA48" s="82"/>
      <c r="BB48" s="82"/>
      <c r="BC48">
        <v>1</v>
      </c>
      <c r="BD48" s="81" t="str">
        <f>REPLACE(INDEX(GroupVertices[Group],MATCH(Edges[[#This Row],[Vertex 1]],GroupVertices[Vertex],0)),1,1,"")</f>
        <v>10</v>
      </c>
      <c r="BE48" s="81" t="str">
        <f>REPLACE(INDEX(GroupVertices[Group],MATCH(Edges[[#This Row],[Vertex 2]],GroupVertices[Vertex],0)),1,1,"")</f>
        <v>10</v>
      </c>
      <c r="BF48" s="49">
        <v>1</v>
      </c>
      <c r="BG48" s="50">
        <v>5.882352941176471</v>
      </c>
      <c r="BH48" s="49">
        <v>1</v>
      </c>
      <c r="BI48" s="50">
        <v>5.882352941176471</v>
      </c>
      <c r="BJ48" s="49">
        <v>0</v>
      </c>
      <c r="BK48" s="50">
        <v>0</v>
      </c>
      <c r="BL48" s="49">
        <v>15</v>
      </c>
      <c r="BM48" s="50">
        <v>88.23529411764706</v>
      </c>
      <c r="BN48" s="49">
        <v>17</v>
      </c>
    </row>
    <row r="49" spans="1:66" ht="15">
      <c r="A49" s="66" t="s">
        <v>271</v>
      </c>
      <c r="B49" s="66" t="s">
        <v>271</v>
      </c>
      <c r="C49" s="67" t="s">
        <v>2139</v>
      </c>
      <c r="D49" s="68">
        <v>3</v>
      </c>
      <c r="E49" s="69" t="s">
        <v>132</v>
      </c>
      <c r="F49" s="70">
        <v>32</v>
      </c>
      <c r="G49" s="67"/>
      <c r="H49" s="71"/>
      <c r="I49" s="72"/>
      <c r="J49" s="72"/>
      <c r="K49" s="35" t="s">
        <v>65</v>
      </c>
      <c r="L49" s="80">
        <v>49</v>
      </c>
      <c r="M49" s="80"/>
      <c r="N49" s="74"/>
      <c r="O49" s="82" t="s">
        <v>211</v>
      </c>
      <c r="P49" s="84">
        <v>44724.17849537037</v>
      </c>
      <c r="Q49" s="82" t="s">
        <v>344</v>
      </c>
      <c r="R49" s="82"/>
      <c r="S49" s="82"/>
      <c r="T49" s="82"/>
      <c r="U49" s="82"/>
      <c r="V49" s="85" t="str">
        <f>HYPERLINK("https://pbs.twimg.com/profile_images/1255491987102457858/rfgbosj1_normal.jpg")</f>
        <v>https://pbs.twimg.com/profile_images/1255491987102457858/rfgbosj1_normal.jpg</v>
      </c>
      <c r="W49" s="84">
        <v>44724.17849537037</v>
      </c>
      <c r="X49" s="89">
        <v>44724</v>
      </c>
      <c r="Y49" s="87" t="s">
        <v>563</v>
      </c>
      <c r="Z49" s="85" t="str">
        <f>HYPERLINK("https://twitter.com/thenarraback/status/1535838561030787072")</f>
        <v>https://twitter.com/thenarraback/status/1535838561030787072</v>
      </c>
      <c r="AA49" s="82"/>
      <c r="AB49" s="82"/>
      <c r="AC49" s="87" t="s">
        <v>752</v>
      </c>
      <c r="AD49" s="82"/>
      <c r="AE49" s="82" t="b">
        <v>0</v>
      </c>
      <c r="AF49" s="82">
        <v>0</v>
      </c>
      <c r="AG49" s="87" t="s">
        <v>957</v>
      </c>
      <c r="AH49" s="82" t="b">
        <v>0</v>
      </c>
      <c r="AI49" s="82" t="s">
        <v>973</v>
      </c>
      <c r="AJ49" s="82"/>
      <c r="AK49" s="87" t="s">
        <v>957</v>
      </c>
      <c r="AL49" s="82" t="b">
        <v>0</v>
      </c>
      <c r="AM49" s="82">
        <v>0</v>
      </c>
      <c r="AN49" s="87" t="s">
        <v>957</v>
      </c>
      <c r="AO49" s="87" t="s">
        <v>978</v>
      </c>
      <c r="AP49" s="82" t="b">
        <v>0</v>
      </c>
      <c r="AQ49" s="87" t="s">
        <v>752</v>
      </c>
      <c r="AR49" s="82" t="s">
        <v>211</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1</v>
      </c>
      <c r="BG49" s="50">
        <v>5.882352941176471</v>
      </c>
      <c r="BH49" s="49">
        <v>0</v>
      </c>
      <c r="BI49" s="50">
        <v>0</v>
      </c>
      <c r="BJ49" s="49">
        <v>0</v>
      </c>
      <c r="BK49" s="50">
        <v>0</v>
      </c>
      <c r="BL49" s="49">
        <v>16</v>
      </c>
      <c r="BM49" s="50">
        <v>94.11764705882354</v>
      </c>
      <c r="BN49" s="49">
        <v>17</v>
      </c>
    </row>
    <row r="50" spans="1:66" ht="15">
      <c r="A50" s="66" t="s">
        <v>271</v>
      </c>
      <c r="B50" s="66" t="s">
        <v>273</v>
      </c>
      <c r="C50" s="67" t="s">
        <v>2139</v>
      </c>
      <c r="D50" s="68">
        <v>3</v>
      </c>
      <c r="E50" s="69" t="s">
        <v>132</v>
      </c>
      <c r="F50" s="70">
        <v>32</v>
      </c>
      <c r="G50" s="67"/>
      <c r="H50" s="71"/>
      <c r="I50" s="72"/>
      <c r="J50" s="72"/>
      <c r="K50" s="35" t="s">
        <v>65</v>
      </c>
      <c r="L50" s="80">
        <v>50</v>
      </c>
      <c r="M50" s="80"/>
      <c r="N50" s="74"/>
      <c r="O50" s="82" t="s">
        <v>331</v>
      </c>
      <c r="P50" s="84">
        <v>44724.88123842593</v>
      </c>
      <c r="Q50" s="82" t="s">
        <v>345</v>
      </c>
      <c r="R50" s="82"/>
      <c r="S50" s="82"/>
      <c r="T50" s="82"/>
      <c r="U50" s="82"/>
      <c r="V50" s="85" t="str">
        <f>HYPERLINK("https://pbs.twimg.com/profile_images/1255491987102457858/rfgbosj1_normal.jpg")</f>
        <v>https://pbs.twimg.com/profile_images/1255491987102457858/rfgbosj1_normal.jpg</v>
      </c>
      <c r="W50" s="84">
        <v>44724.88123842593</v>
      </c>
      <c r="X50" s="89">
        <v>44724</v>
      </c>
      <c r="Y50" s="87" t="s">
        <v>564</v>
      </c>
      <c r="Z50" s="85" t="str">
        <f>HYPERLINK("https://twitter.com/thenarraback/status/1536093227127910400")</f>
        <v>https://twitter.com/thenarraback/status/1536093227127910400</v>
      </c>
      <c r="AA50" s="82"/>
      <c r="AB50" s="82"/>
      <c r="AC50" s="87" t="s">
        <v>753</v>
      </c>
      <c r="AD50" s="87" t="s">
        <v>754</v>
      </c>
      <c r="AE50" s="82" t="b">
        <v>0</v>
      </c>
      <c r="AF50" s="82">
        <v>2</v>
      </c>
      <c r="AG50" s="87" t="s">
        <v>959</v>
      </c>
      <c r="AH50" s="82" t="b">
        <v>0</v>
      </c>
      <c r="AI50" s="82" t="s">
        <v>973</v>
      </c>
      <c r="AJ50" s="82"/>
      <c r="AK50" s="87" t="s">
        <v>957</v>
      </c>
      <c r="AL50" s="82" t="b">
        <v>0</v>
      </c>
      <c r="AM50" s="82">
        <v>0</v>
      </c>
      <c r="AN50" s="87" t="s">
        <v>957</v>
      </c>
      <c r="AO50" s="87" t="s">
        <v>978</v>
      </c>
      <c r="AP50" s="82" t="b">
        <v>0</v>
      </c>
      <c r="AQ50" s="87" t="s">
        <v>754</v>
      </c>
      <c r="AR50" s="82" t="s">
        <v>211</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6" t="s">
        <v>271</v>
      </c>
      <c r="B51" s="66" t="s">
        <v>308</v>
      </c>
      <c r="C51" s="67" t="s">
        <v>2139</v>
      </c>
      <c r="D51" s="68">
        <v>3</v>
      </c>
      <c r="E51" s="69" t="s">
        <v>132</v>
      </c>
      <c r="F51" s="70">
        <v>32</v>
      </c>
      <c r="G51" s="67"/>
      <c r="H51" s="71"/>
      <c r="I51" s="72"/>
      <c r="J51" s="72"/>
      <c r="K51" s="35" t="s">
        <v>65</v>
      </c>
      <c r="L51" s="80">
        <v>51</v>
      </c>
      <c r="M51" s="80"/>
      <c r="N51" s="74"/>
      <c r="O51" s="82" t="s">
        <v>331</v>
      </c>
      <c r="P51" s="84">
        <v>44724.88123842593</v>
      </c>
      <c r="Q51" s="82" t="s">
        <v>345</v>
      </c>
      <c r="R51" s="82"/>
      <c r="S51" s="82"/>
      <c r="T51" s="82"/>
      <c r="U51" s="82"/>
      <c r="V51" s="85" t="str">
        <f>HYPERLINK("https://pbs.twimg.com/profile_images/1255491987102457858/rfgbosj1_normal.jpg")</f>
        <v>https://pbs.twimg.com/profile_images/1255491987102457858/rfgbosj1_normal.jpg</v>
      </c>
      <c r="W51" s="84">
        <v>44724.88123842593</v>
      </c>
      <c r="X51" s="89">
        <v>44724</v>
      </c>
      <c r="Y51" s="87" t="s">
        <v>564</v>
      </c>
      <c r="Z51" s="85" t="str">
        <f>HYPERLINK("https://twitter.com/thenarraback/status/1536093227127910400")</f>
        <v>https://twitter.com/thenarraback/status/1536093227127910400</v>
      </c>
      <c r="AA51" s="82"/>
      <c r="AB51" s="82"/>
      <c r="AC51" s="87" t="s">
        <v>753</v>
      </c>
      <c r="AD51" s="87" t="s">
        <v>754</v>
      </c>
      <c r="AE51" s="82" t="b">
        <v>0</v>
      </c>
      <c r="AF51" s="82">
        <v>2</v>
      </c>
      <c r="AG51" s="87" t="s">
        <v>959</v>
      </c>
      <c r="AH51" s="82" t="b">
        <v>0</v>
      </c>
      <c r="AI51" s="82" t="s">
        <v>973</v>
      </c>
      <c r="AJ51" s="82"/>
      <c r="AK51" s="87" t="s">
        <v>957</v>
      </c>
      <c r="AL51" s="82" t="b">
        <v>0</v>
      </c>
      <c r="AM51" s="82">
        <v>0</v>
      </c>
      <c r="AN51" s="87" t="s">
        <v>957</v>
      </c>
      <c r="AO51" s="87" t="s">
        <v>978</v>
      </c>
      <c r="AP51" s="82" t="b">
        <v>0</v>
      </c>
      <c r="AQ51" s="87" t="s">
        <v>754</v>
      </c>
      <c r="AR51" s="82" t="s">
        <v>211</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6" t="s">
        <v>271</v>
      </c>
      <c r="B52" s="66" t="s">
        <v>272</v>
      </c>
      <c r="C52" s="67" t="s">
        <v>2139</v>
      </c>
      <c r="D52" s="68">
        <v>3</v>
      </c>
      <c r="E52" s="69" t="s">
        <v>132</v>
      </c>
      <c r="F52" s="70">
        <v>32</v>
      </c>
      <c r="G52" s="67"/>
      <c r="H52" s="71"/>
      <c r="I52" s="72"/>
      <c r="J52" s="72"/>
      <c r="K52" s="35" t="s">
        <v>66</v>
      </c>
      <c r="L52" s="80">
        <v>52</v>
      </c>
      <c r="M52" s="80"/>
      <c r="N52" s="74"/>
      <c r="O52" s="82" t="s">
        <v>332</v>
      </c>
      <c r="P52" s="84">
        <v>44724.88123842593</v>
      </c>
      <c r="Q52" s="82" t="s">
        <v>345</v>
      </c>
      <c r="R52" s="82"/>
      <c r="S52" s="82"/>
      <c r="T52" s="82"/>
      <c r="U52" s="82"/>
      <c r="V52" s="85" t="str">
        <f>HYPERLINK("https://pbs.twimg.com/profile_images/1255491987102457858/rfgbosj1_normal.jpg")</f>
        <v>https://pbs.twimg.com/profile_images/1255491987102457858/rfgbosj1_normal.jpg</v>
      </c>
      <c r="W52" s="84">
        <v>44724.88123842593</v>
      </c>
      <c r="X52" s="89">
        <v>44724</v>
      </c>
      <c r="Y52" s="87" t="s">
        <v>564</v>
      </c>
      <c r="Z52" s="85" t="str">
        <f>HYPERLINK("https://twitter.com/thenarraback/status/1536093227127910400")</f>
        <v>https://twitter.com/thenarraback/status/1536093227127910400</v>
      </c>
      <c r="AA52" s="82"/>
      <c r="AB52" s="82"/>
      <c r="AC52" s="87" t="s">
        <v>753</v>
      </c>
      <c r="AD52" s="87" t="s">
        <v>754</v>
      </c>
      <c r="AE52" s="82" t="b">
        <v>0</v>
      </c>
      <c r="AF52" s="82">
        <v>2</v>
      </c>
      <c r="AG52" s="87" t="s">
        <v>959</v>
      </c>
      <c r="AH52" s="82" t="b">
        <v>0</v>
      </c>
      <c r="AI52" s="82" t="s">
        <v>973</v>
      </c>
      <c r="AJ52" s="82"/>
      <c r="AK52" s="87" t="s">
        <v>957</v>
      </c>
      <c r="AL52" s="82" t="b">
        <v>0</v>
      </c>
      <c r="AM52" s="82">
        <v>0</v>
      </c>
      <c r="AN52" s="87" t="s">
        <v>957</v>
      </c>
      <c r="AO52" s="87" t="s">
        <v>978</v>
      </c>
      <c r="AP52" s="82" t="b">
        <v>0</v>
      </c>
      <c r="AQ52" s="87" t="s">
        <v>754</v>
      </c>
      <c r="AR52" s="82" t="s">
        <v>211</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9</v>
      </c>
      <c r="BM52" s="50">
        <v>100</v>
      </c>
      <c r="BN52" s="49">
        <v>9</v>
      </c>
    </row>
    <row r="53" spans="1:66" ht="15">
      <c r="A53" s="66" t="s">
        <v>272</v>
      </c>
      <c r="B53" s="66" t="s">
        <v>271</v>
      </c>
      <c r="C53" s="67" t="s">
        <v>2139</v>
      </c>
      <c r="D53" s="68">
        <v>3</v>
      </c>
      <c r="E53" s="69" t="s">
        <v>136</v>
      </c>
      <c r="F53" s="70">
        <v>31.81560283687943</v>
      </c>
      <c r="G53" s="67"/>
      <c r="H53" s="71"/>
      <c r="I53" s="72"/>
      <c r="J53" s="72"/>
      <c r="K53" s="35" t="s">
        <v>66</v>
      </c>
      <c r="L53" s="80">
        <v>53</v>
      </c>
      <c r="M53" s="80"/>
      <c r="N53" s="74"/>
      <c r="O53" s="82" t="s">
        <v>331</v>
      </c>
      <c r="P53" s="84">
        <v>44724.88011574074</v>
      </c>
      <c r="Q53" s="82" t="s">
        <v>346</v>
      </c>
      <c r="R53" s="82"/>
      <c r="S53" s="82"/>
      <c r="T53" s="82"/>
      <c r="U53" s="82"/>
      <c r="V53" s="85" t="str">
        <f>HYPERLINK("https://pbs.twimg.com/profile_images/1087064104903364608/zpS5WJxE_normal.jpg")</f>
        <v>https://pbs.twimg.com/profile_images/1087064104903364608/zpS5WJxE_normal.jpg</v>
      </c>
      <c r="W53" s="84">
        <v>44724.88011574074</v>
      </c>
      <c r="X53" s="89">
        <v>44724</v>
      </c>
      <c r="Y53" s="87" t="s">
        <v>565</v>
      </c>
      <c r="Z53" s="85" t="str">
        <f>HYPERLINK("https://twitter.com/stephenclarke80/status/1536092820104175619")</f>
        <v>https://twitter.com/stephenclarke80/status/1536092820104175619</v>
      </c>
      <c r="AA53" s="82"/>
      <c r="AB53" s="82"/>
      <c r="AC53" s="87" t="s">
        <v>754</v>
      </c>
      <c r="AD53" s="87" t="s">
        <v>938</v>
      </c>
      <c r="AE53" s="82" t="b">
        <v>0</v>
      </c>
      <c r="AF53" s="82">
        <v>2</v>
      </c>
      <c r="AG53" s="87" t="s">
        <v>960</v>
      </c>
      <c r="AH53" s="82" t="b">
        <v>0</v>
      </c>
      <c r="AI53" s="82" t="s">
        <v>973</v>
      </c>
      <c r="AJ53" s="82"/>
      <c r="AK53" s="87" t="s">
        <v>957</v>
      </c>
      <c r="AL53" s="82" t="b">
        <v>0</v>
      </c>
      <c r="AM53" s="82">
        <v>0</v>
      </c>
      <c r="AN53" s="87" t="s">
        <v>957</v>
      </c>
      <c r="AO53" s="87" t="s">
        <v>976</v>
      </c>
      <c r="AP53" s="82" t="b">
        <v>0</v>
      </c>
      <c r="AQ53" s="87" t="s">
        <v>938</v>
      </c>
      <c r="AR53" s="82" t="s">
        <v>211</v>
      </c>
      <c r="AS53" s="82">
        <v>0</v>
      </c>
      <c r="AT53" s="82">
        <v>0</v>
      </c>
      <c r="AU53" s="82" t="s">
        <v>986</v>
      </c>
      <c r="AV53" s="82" t="s">
        <v>987</v>
      </c>
      <c r="AW53" s="82" t="s">
        <v>988</v>
      </c>
      <c r="AX53" s="82" t="s">
        <v>989</v>
      </c>
      <c r="AY53" s="82" t="s">
        <v>990</v>
      </c>
      <c r="AZ53" s="82" t="s">
        <v>991</v>
      </c>
      <c r="BA53" s="82" t="s">
        <v>992</v>
      </c>
      <c r="BB53" s="85" t="str">
        <f>HYPERLINK("https://api.twitter.com/1.1/geo/id/7ae9e2f2ff7a87cd.json")</f>
        <v>https://api.twitter.com/1.1/geo/id/7ae9e2f2ff7a87cd.json</v>
      </c>
      <c r="BC53">
        <v>2</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6" t="s">
        <v>272</v>
      </c>
      <c r="B54" s="66" t="s">
        <v>271</v>
      </c>
      <c r="C54" s="67" t="s">
        <v>2139</v>
      </c>
      <c r="D54" s="68">
        <v>3</v>
      </c>
      <c r="E54" s="69" t="s">
        <v>136</v>
      </c>
      <c r="F54" s="70">
        <v>31.81560283687943</v>
      </c>
      <c r="G54" s="67"/>
      <c r="H54" s="71"/>
      <c r="I54" s="72"/>
      <c r="J54" s="72"/>
      <c r="K54" s="35" t="s">
        <v>66</v>
      </c>
      <c r="L54" s="80">
        <v>54</v>
      </c>
      <c r="M54" s="80"/>
      <c r="N54" s="74"/>
      <c r="O54" s="82" t="s">
        <v>331</v>
      </c>
      <c r="P54" s="84">
        <v>44724.89134259259</v>
      </c>
      <c r="Q54" s="82" t="s">
        <v>347</v>
      </c>
      <c r="R54" s="82"/>
      <c r="S54" s="82"/>
      <c r="T54" s="82"/>
      <c r="U54" s="82"/>
      <c r="V54" s="85" t="str">
        <f>HYPERLINK("https://pbs.twimg.com/profile_images/1087064104903364608/zpS5WJxE_normal.jpg")</f>
        <v>https://pbs.twimg.com/profile_images/1087064104903364608/zpS5WJxE_normal.jpg</v>
      </c>
      <c r="W54" s="84">
        <v>44724.89134259259</v>
      </c>
      <c r="X54" s="89">
        <v>44724</v>
      </c>
      <c r="Y54" s="87" t="s">
        <v>566</v>
      </c>
      <c r="Z54" s="85" t="str">
        <f>HYPERLINK("https://twitter.com/stephenclarke80/status/1536096891871576064")</f>
        <v>https://twitter.com/stephenclarke80/status/1536096891871576064</v>
      </c>
      <c r="AA54" s="82"/>
      <c r="AB54" s="82"/>
      <c r="AC54" s="87" t="s">
        <v>755</v>
      </c>
      <c r="AD54" s="87" t="s">
        <v>939</v>
      </c>
      <c r="AE54" s="82" t="b">
        <v>0</v>
      </c>
      <c r="AF54" s="82">
        <v>1</v>
      </c>
      <c r="AG54" s="87" t="s">
        <v>960</v>
      </c>
      <c r="AH54" s="82" t="b">
        <v>0</v>
      </c>
      <c r="AI54" s="82" t="s">
        <v>973</v>
      </c>
      <c r="AJ54" s="82"/>
      <c r="AK54" s="87" t="s">
        <v>957</v>
      </c>
      <c r="AL54" s="82" t="b">
        <v>0</v>
      </c>
      <c r="AM54" s="82">
        <v>0</v>
      </c>
      <c r="AN54" s="87" t="s">
        <v>957</v>
      </c>
      <c r="AO54" s="87" t="s">
        <v>976</v>
      </c>
      <c r="AP54" s="82" t="b">
        <v>0</v>
      </c>
      <c r="AQ54" s="87" t="s">
        <v>939</v>
      </c>
      <c r="AR54" s="82" t="s">
        <v>211</v>
      </c>
      <c r="AS54" s="82">
        <v>0</v>
      </c>
      <c r="AT54" s="82">
        <v>0</v>
      </c>
      <c r="AU54" s="82" t="s">
        <v>986</v>
      </c>
      <c r="AV54" s="82" t="s">
        <v>987</v>
      </c>
      <c r="AW54" s="82" t="s">
        <v>988</v>
      </c>
      <c r="AX54" s="82" t="s">
        <v>989</v>
      </c>
      <c r="AY54" s="82" t="s">
        <v>990</v>
      </c>
      <c r="AZ54" s="82" t="s">
        <v>991</v>
      </c>
      <c r="BA54" s="82" t="s">
        <v>992</v>
      </c>
      <c r="BB54" s="85" t="str">
        <f>HYPERLINK("https://api.twitter.com/1.1/geo/id/7ae9e2f2ff7a87cd.json")</f>
        <v>https://api.twitter.com/1.1/geo/id/7ae9e2f2ff7a87cd.json</v>
      </c>
      <c r="BC54">
        <v>2</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6" t="s">
        <v>272</v>
      </c>
      <c r="B55" s="66" t="s">
        <v>308</v>
      </c>
      <c r="C55" s="67" t="s">
        <v>2139</v>
      </c>
      <c r="D55" s="68">
        <v>3</v>
      </c>
      <c r="E55" s="69" t="s">
        <v>136</v>
      </c>
      <c r="F55" s="70">
        <v>31.81560283687943</v>
      </c>
      <c r="G55" s="67"/>
      <c r="H55" s="71"/>
      <c r="I55" s="72"/>
      <c r="J55" s="72"/>
      <c r="K55" s="35" t="s">
        <v>65</v>
      </c>
      <c r="L55" s="80">
        <v>55</v>
      </c>
      <c r="M55" s="80"/>
      <c r="N55" s="74"/>
      <c r="O55" s="82" t="s">
        <v>332</v>
      </c>
      <c r="P55" s="84">
        <v>44724.88011574074</v>
      </c>
      <c r="Q55" s="82" t="s">
        <v>346</v>
      </c>
      <c r="R55" s="82"/>
      <c r="S55" s="82"/>
      <c r="T55" s="82"/>
      <c r="U55" s="82"/>
      <c r="V55" s="85" t="str">
        <f>HYPERLINK("https://pbs.twimg.com/profile_images/1087064104903364608/zpS5WJxE_normal.jpg")</f>
        <v>https://pbs.twimg.com/profile_images/1087064104903364608/zpS5WJxE_normal.jpg</v>
      </c>
      <c r="W55" s="84">
        <v>44724.88011574074</v>
      </c>
      <c r="X55" s="89">
        <v>44724</v>
      </c>
      <c r="Y55" s="87" t="s">
        <v>565</v>
      </c>
      <c r="Z55" s="85" t="str">
        <f>HYPERLINK("https://twitter.com/stephenclarke80/status/1536092820104175619")</f>
        <v>https://twitter.com/stephenclarke80/status/1536092820104175619</v>
      </c>
      <c r="AA55" s="82"/>
      <c r="AB55" s="82"/>
      <c r="AC55" s="87" t="s">
        <v>754</v>
      </c>
      <c r="AD55" s="87" t="s">
        <v>938</v>
      </c>
      <c r="AE55" s="82" t="b">
        <v>0</v>
      </c>
      <c r="AF55" s="82">
        <v>2</v>
      </c>
      <c r="AG55" s="87" t="s">
        <v>960</v>
      </c>
      <c r="AH55" s="82" t="b">
        <v>0</v>
      </c>
      <c r="AI55" s="82" t="s">
        <v>973</v>
      </c>
      <c r="AJ55" s="82"/>
      <c r="AK55" s="87" t="s">
        <v>957</v>
      </c>
      <c r="AL55" s="82" t="b">
        <v>0</v>
      </c>
      <c r="AM55" s="82">
        <v>0</v>
      </c>
      <c r="AN55" s="87" t="s">
        <v>957</v>
      </c>
      <c r="AO55" s="87" t="s">
        <v>976</v>
      </c>
      <c r="AP55" s="82" t="b">
        <v>0</v>
      </c>
      <c r="AQ55" s="87" t="s">
        <v>938</v>
      </c>
      <c r="AR55" s="82" t="s">
        <v>211</v>
      </c>
      <c r="AS55" s="82">
        <v>0</v>
      </c>
      <c r="AT55" s="82">
        <v>0</v>
      </c>
      <c r="AU55" s="82" t="s">
        <v>986</v>
      </c>
      <c r="AV55" s="82" t="s">
        <v>987</v>
      </c>
      <c r="AW55" s="82" t="s">
        <v>988</v>
      </c>
      <c r="AX55" s="82" t="s">
        <v>989</v>
      </c>
      <c r="AY55" s="82" t="s">
        <v>990</v>
      </c>
      <c r="AZ55" s="82" t="s">
        <v>991</v>
      </c>
      <c r="BA55" s="82" t="s">
        <v>992</v>
      </c>
      <c r="BB55" s="85" t="str">
        <f>HYPERLINK("https://api.twitter.com/1.1/geo/id/7ae9e2f2ff7a87cd.json")</f>
        <v>https://api.twitter.com/1.1/geo/id/7ae9e2f2ff7a87cd.json</v>
      </c>
      <c r="BC55">
        <v>2</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6" t="s">
        <v>272</v>
      </c>
      <c r="B56" s="66" t="s">
        <v>308</v>
      </c>
      <c r="C56" s="67" t="s">
        <v>2139</v>
      </c>
      <c r="D56" s="68">
        <v>3</v>
      </c>
      <c r="E56" s="69" t="s">
        <v>136</v>
      </c>
      <c r="F56" s="70">
        <v>31.81560283687943</v>
      </c>
      <c r="G56" s="67"/>
      <c r="H56" s="71"/>
      <c r="I56" s="72"/>
      <c r="J56" s="72"/>
      <c r="K56" s="35" t="s">
        <v>65</v>
      </c>
      <c r="L56" s="80">
        <v>56</v>
      </c>
      <c r="M56" s="80"/>
      <c r="N56" s="74"/>
      <c r="O56" s="82" t="s">
        <v>332</v>
      </c>
      <c r="P56" s="84">
        <v>44724.89134259259</v>
      </c>
      <c r="Q56" s="82" t="s">
        <v>347</v>
      </c>
      <c r="R56" s="82"/>
      <c r="S56" s="82"/>
      <c r="T56" s="82"/>
      <c r="U56" s="82"/>
      <c r="V56" s="85" t="str">
        <f>HYPERLINK("https://pbs.twimg.com/profile_images/1087064104903364608/zpS5WJxE_normal.jpg")</f>
        <v>https://pbs.twimg.com/profile_images/1087064104903364608/zpS5WJxE_normal.jpg</v>
      </c>
      <c r="W56" s="84">
        <v>44724.89134259259</v>
      </c>
      <c r="X56" s="89">
        <v>44724</v>
      </c>
      <c r="Y56" s="87" t="s">
        <v>566</v>
      </c>
      <c r="Z56" s="85" t="str">
        <f>HYPERLINK("https://twitter.com/stephenclarke80/status/1536096891871576064")</f>
        <v>https://twitter.com/stephenclarke80/status/1536096891871576064</v>
      </c>
      <c r="AA56" s="82"/>
      <c r="AB56" s="82"/>
      <c r="AC56" s="87" t="s">
        <v>755</v>
      </c>
      <c r="AD56" s="87" t="s">
        <v>939</v>
      </c>
      <c r="AE56" s="82" t="b">
        <v>0</v>
      </c>
      <c r="AF56" s="82">
        <v>1</v>
      </c>
      <c r="AG56" s="87" t="s">
        <v>960</v>
      </c>
      <c r="AH56" s="82" t="b">
        <v>0</v>
      </c>
      <c r="AI56" s="82" t="s">
        <v>973</v>
      </c>
      <c r="AJ56" s="82"/>
      <c r="AK56" s="87" t="s">
        <v>957</v>
      </c>
      <c r="AL56" s="82" t="b">
        <v>0</v>
      </c>
      <c r="AM56" s="82">
        <v>0</v>
      </c>
      <c r="AN56" s="87" t="s">
        <v>957</v>
      </c>
      <c r="AO56" s="87" t="s">
        <v>976</v>
      </c>
      <c r="AP56" s="82" t="b">
        <v>0</v>
      </c>
      <c r="AQ56" s="87" t="s">
        <v>939</v>
      </c>
      <c r="AR56" s="82" t="s">
        <v>211</v>
      </c>
      <c r="AS56" s="82">
        <v>0</v>
      </c>
      <c r="AT56" s="82">
        <v>0</v>
      </c>
      <c r="AU56" s="82" t="s">
        <v>986</v>
      </c>
      <c r="AV56" s="82" t="s">
        <v>987</v>
      </c>
      <c r="AW56" s="82" t="s">
        <v>988</v>
      </c>
      <c r="AX56" s="82" t="s">
        <v>989</v>
      </c>
      <c r="AY56" s="82" t="s">
        <v>990</v>
      </c>
      <c r="AZ56" s="82" t="s">
        <v>991</v>
      </c>
      <c r="BA56" s="82" t="s">
        <v>992</v>
      </c>
      <c r="BB56" s="85" t="str">
        <f>HYPERLINK("https://api.twitter.com/1.1/geo/id/7ae9e2f2ff7a87cd.json")</f>
        <v>https://api.twitter.com/1.1/geo/id/7ae9e2f2ff7a87cd.json</v>
      </c>
      <c r="BC56">
        <v>2</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6" t="s">
        <v>272</v>
      </c>
      <c r="B57" s="66" t="s">
        <v>273</v>
      </c>
      <c r="C57" s="67" t="s">
        <v>2139</v>
      </c>
      <c r="D57" s="68">
        <v>3</v>
      </c>
      <c r="E57" s="69" t="s">
        <v>136</v>
      </c>
      <c r="F57" s="70">
        <v>31.81560283687943</v>
      </c>
      <c r="G57" s="67"/>
      <c r="H57" s="71"/>
      <c r="I57" s="72"/>
      <c r="J57" s="72"/>
      <c r="K57" s="35" t="s">
        <v>65</v>
      </c>
      <c r="L57" s="80">
        <v>57</v>
      </c>
      <c r="M57" s="80"/>
      <c r="N57" s="74"/>
      <c r="O57" s="82" t="s">
        <v>331</v>
      </c>
      <c r="P57" s="84">
        <v>44724.88011574074</v>
      </c>
      <c r="Q57" s="82" t="s">
        <v>346</v>
      </c>
      <c r="R57" s="82"/>
      <c r="S57" s="82"/>
      <c r="T57" s="82"/>
      <c r="U57" s="82"/>
      <c r="V57" s="85" t="str">
        <f>HYPERLINK("https://pbs.twimg.com/profile_images/1087064104903364608/zpS5WJxE_normal.jpg")</f>
        <v>https://pbs.twimg.com/profile_images/1087064104903364608/zpS5WJxE_normal.jpg</v>
      </c>
      <c r="W57" s="84">
        <v>44724.88011574074</v>
      </c>
      <c r="X57" s="89">
        <v>44724</v>
      </c>
      <c r="Y57" s="87" t="s">
        <v>565</v>
      </c>
      <c r="Z57" s="85" t="str">
        <f>HYPERLINK("https://twitter.com/stephenclarke80/status/1536092820104175619")</f>
        <v>https://twitter.com/stephenclarke80/status/1536092820104175619</v>
      </c>
      <c r="AA57" s="82"/>
      <c r="AB57" s="82"/>
      <c r="AC57" s="87" t="s">
        <v>754</v>
      </c>
      <c r="AD57" s="87" t="s">
        <v>938</v>
      </c>
      <c r="AE57" s="82" t="b">
        <v>0</v>
      </c>
      <c r="AF57" s="82">
        <v>2</v>
      </c>
      <c r="AG57" s="87" t="s">
        <v>960</v>
      </c>
      <c r="AH57" s="82" t="b">
        <v>0</v>
      </c>
      <c r="AI57" s="82" t="s">
        <v>973</v>
      </c>
      <c r="AJ57" s="82"/>
      <c r="AK57" s="87" t="s">
        <v>957</v>
      </c>
      <c r="AL57" s="82" t="b">
        <v>0</v>
      </c>
      <c r="AM57" s="82">
        <v>0</v>
      </c>
      <c r="AN57" s="87" t="s">
        <v>957</v>
      </c>
      <c r="AO57" s="87" t="s">
        <v>976</v>
      </c>
      <c r="AP57" s="82" t="b">
        <v>0</v>
      </c>
      <c r="AQ57" s="87" t="s">
        <v>938</v>
      </c>
      <c r="AR57" s="82" t="s">
        <v>211</v>
      </c>
      <c r="AS57" s="82">
        <v>0</v>
      </c>
      <c r="AT57" s="82">
        <v>0</v>
      </c>
      <c r="AU57" s="82" t="s">
        <v>986</v>
      </c>
      <c r="AV57" s="82" t="s">
        <v>987</v>
      </c>
      <c r="AW57" s="82" t="s">
        <v>988</v>
      </c>
      <c r="AX57" s="82" t="s">
        <v>989</v>
      </c>
      <c r="AY57" s="82" t="s">
        <v>990</v>
      </c>
      <c r="AZ57" s="82" t="s">
        <v>991</v>
      </c>
      <c r="BA57" s="82" t="s">
        <v>992</v>
      </c>
      <c r="BB57" s="85" t="str">
        <f>HYPERLINK("https://api.twitter.com/1.1/geo/id/7ae9e2f2ff7a87cd.json")</f>
        <v>https://api.twitter.com/1.1/geo/id/7ae9e2f2ff7a87cd.json</v>
      </c>
      <c r="BC57">
        <v>2</v>
      </c>
      <c r="BD57" s="81" t="str">
        <f>REPLACE(INDEX(GroupVertices[Group],MATCH(Edges[[#This Row],[Vertex 1]],GroupVertices[Vertex],0)),1,1,"")</f>
        <v>1</v>
      </c>
      <c r="BE57" s="81" t="str">
        <f>REPLACE(INDEX(GroupVertices[Group],MATCH(Edges[[#This Row],[Vertex 2]],GroupVertices[Vertex],0)),1,1,"")</f>
        <v>1</v>
      </c>
      <c r="BF57" s="49">
        <v>1</v>
      </c>
      <c r="BG57" s="50">
        <v>1.9230769230769231</v>
      </c>
      <c r="BH57" s="49">
        <v>3</v>
      </c>
      <c r="BI57" s="50">
        <v>5.769230769230769</v>
      </c>
      <c r="BJ57" s="49">
        <v>0</v>
      </c>
      <c r="BK57" s="50">
        <v>0</v>
      </c>
      <c r="BL57" s="49">
        <v>48</v>
      </c>
      <c r="BM57" s="50">
        <v>92.3076923076923</v>
      </c>
      <c r="BN57" s="49">
        <v>52</v>
      </c>
    </row>
    <row r="58" spans="1:66" ht="15">
      <c r="A58" s="66" t="s">
        <v>272</v>
      </c>
      <c r="B58" s="66" t="s">
        <v>273</v>
      </c>
      <c r="C58" s="67" t="s">
        <v>2139</v>
      </c>
      <c r="D58" s="68">
        <v>3</v>
      </c>
      <c r="E58" s="69" t="s">
        <v>136</v>
      </c>
      <c r="F58" s="70">
        <v>31.81560283687943</v>
      </c>
      <c r="G58" s="67"/>
      <c r="H58" s="71"/>
      <c r="I58" s="72"/>
      <c r="J58" s="72"/>
      <c r="K58" s="35" t="s">
        <v>65</v>
      </c>
      <c r="L58" s="80">
        <v>58</v>
      </c>
      <c r="M58" s="80"/>
      <c r="N58" s="74"/>
      <c r="O58" s="82" t="s">
        <v>331</v>
      </c>
      <c r="P58" s="84">
        <v>44724.89134259259</v>
      </c>
      <c r="Q58" s="82" t="s">
        <v>347</v>
      </c>
      <c r="R58" s="82"/>
      <c r="S58" s="82"/>
      <c r="T58" s="82"/>
      <c r="U58" s="82"/>
      <c r="V58" s="85" t="str">
        <f>HYPERLINK("https://pbs.twimg.com/profile_images/1087064104903364608/zpS5WJxE_normal.jpg")</f>
        <v>https://pbs.twimg.com/profile_images/1087064104903364608/zpS5WJxE_normal.jpg</v>
      </c>
      <c r="W58" s="84">
        <v>44724.89134259259</v>
      </c>
      <c r="X58" s="89">
        <v>44724</v>
      </c>
      <c r="Y58" s="87" t="s">
        <v>566</v>
      </c>
      <c r="Z58" s="85" t="str">
        <f>HYPERLINK("https://twitter.com/stephenclarke80/status/1536096891871576064")</f>
        <v>https://twitter.com/stephenclarke80/status/1536096891871576064</v>
      </c>
      <c r="AA58" s="82"/>
      <c r="AB58" s="82"/>
      <c r="AC58" s="87" t="s">
        <v>755</v>
      </c>
      <c r="AD58" s="87" t="s">
        <v>939</v>
      </c>
      <c r="AE58" s="82" t="b">
        <v>0</v>
      </c>
      <c r="AF58" s="82">
        <v>1</v>
      </c>
      <c r="AG58" s="87" t="s">
        <v>960</v>
      </c>
      <c r="AH58" s="82" t="b">
        <v>0</v>
      </c>
      <c r="AI58" s="82" t="s">
        <v>973</v>
      </c>
      <c r="AJ58" s="82"/>
      <c r="AK58" s="87" t="s">
        <v>957</v>
      </c>
      <c r="AL58" s="82" t="b">
        <v>0</v>
      </c>
      <c r="AM58" s="82">
        <v>0</v>
      </c>
      <c r="AN58" s="87" t="s">
        <v>957</v>
      </c>
      <c r="AO58" s="87" t="s">
        <v>976</v>
      </c>
      <c r="AP58" s="82" t="b">
        <v>0</v>
      </c>
      <c r="AQ58" s="87" t="s">
        <v>939</v>
      </c>
      <c r="AR58" s="82" t="s">
        <v>211</v>
      </c>
      <c r="AS58" s="82">
        <v>0</v>
      </c>
      <c r="AT58" s="82">
        <v>0</v>
      </c>
      <c r="AU58" s="82" t="s">
        <v>986</v>
      </c>
      <c r="AV58" s="82" t="s">
        <v>987</v>
      </c>
      <c r="AW58" s="82" t="s">
        <v>988</v>
      </c>
      <c r="AX58" s="82" t="s">
        <v>989</v>
      </c>
      <c r="AY58" s="82" t="s">
        <v>990</v>
      </c>
      <c r="AZ58" s="82" t="s">
        <v>991</v>
      </c>
      <c r="BA58" s="82" t="s">
        <v>992</v>
      </c>
      <c r="BB58" s="85" t="str">
        <f>HYPERLINK("https://api.twitter.com/1.1/geo/id/7ae9e2f2ff7a87cd.json")</f>
        <v>https://api.twitter.com/1.1/geo/id/7ae9e2f2ff7a87cd.json</v>
      </c>
      <c r="BC58">
        <v>2</v>
      </c>
      <c r="BD58" s="81" t="str">
        <f>REPLACE(INDEX(GroupVertices[Group],MATCH(Edges[[#This Row],[Vertex 1]],GroupVertices[Vertex],0)),1,1,"")</f>
        <v>1</v>
      </c>
      <c r="BE58" s="81" t="str">
        <f>REPLACE(INDEX(GroupVertices[Group],MATCH(Edges[[#This Row],[Vertex 2]],GroupVertices[Vertex],0)),1,1,"")</f>
        <v>1</v>
      </c>
      <c r="BF58" s="49">
        <v>1</v>
      </c>
      <c r="BG58" s="50">
        <v>1.9607843137254901</v>
      </c>
      <c r="BH58" s="49">
        <v>1</v>
      </c>
      <c r="BI58" s="50">
        <v>1.9607843137254901</v>
      </c>
      <c r="BJ58" s="49">
        <v>0</v>
      </c>
      <c r="BK58" s="50">
        <v>0</v>
      </c>
      <c r="BL58" s="49">
        <v>49</v>
      </c>
      <c r="BM58" s="50">
        <v>96.07843137254902</v>
      </c>
      <c r="BN58" s="49">
        <v>51</v>
      </c>
    </row>
    <row r="59" spans="1:66" ht="15">
      <c r="A59" s="66" t="s">
        <v>273</v>
      </c>
      <c r="B59" s="66" t="s">
        <v>274</v>
      </c>
      <c r="C59" s="67" t="s">
        <v>2139</v>
      </c>
      <c r="D59" s="68">
        <v>3</v>
      </c>
      <c r="E59" s="69" t="s">
        <v>132</v>
      </c>
      <c r="F59" s="70">
        <v>32</v>
      </c>
      <c r="G59" s="67"/>
      <c r="H59" s="71"/>
      <c r="I59" s="72"/>
      <c r="J59" s="72"/>
      <c r="K59" s="35" t="s">
        <v>66</v>
      </c>
      <c r="L59" s="80">
        <v>59</v>
      </c>
      <c r="M59" s="80"/>
      <c r="N59" s="74"/>
      <c r="O59" s="82" t="s">
        <v>331</v>
      </c>
      <c r="P59" s="84">
        <v>44722.75974537037</v>
      </c>
      <c r="Q59" s="82" t="s">
        <v>336</v>
      </c>
      <c r="R59" s="85" t="str">
        <f>HYPERLINK("https://twitter.com/tweetbytheriver/status/1535321437795500032")</f>
        <v>https://twitter.com/tweetbytheriver/status/1535321437795500032</v>
      </c>
      <c r="S59" s="82" t="s">
        <v>523</v>
      </c>
      <c r="T59" s="82"/>
      <c r="U59" s="82"/>
      <c r="V59" s="85" t="str">
        <f>HYPERLINK("https://pbs.twimg.com/profile_images/1162139708023029762/Hr_ZqPcm_normal.jpg")</f>
        <v>https://pbs.twimg.com/profile_images/1162139708023029762/Hr_ZqPcm_normal.jpg</v>
      </c>
      <c r="W59" s="84">
        <v>44722.75974537037</v>
      </c>
      <c r="X59" s="89">
        <v>44722</v>
      </c>
      <c r="Y59" s="87" t="s">
        <v>567</v>
      </c>
      <c r="Z59" s="85" t="str">
        <f>HYPERLINK("https://twitter.com/wayswithweirds/status/1535324424731246592")</f>
        <v>https://twitter.com/wayswithweirds/status/1535324424731246592</v>
      </c>
      <c r="AA59" s="82"/>
      <c r="AB59" s="82"/>
      <c r="AC59" s="87" t="s">
        <v>756</v>
      </c>
      <c r="AD59" s="82"/>
      <c r="AE59" s="82" t="b">
        <v>0</v>
      </c>
      <c r="AF59" s="82">
        <v>43</v>
      </c>
      <c r="AG59" s="87" t="s">
        <v>957</v>
      </c>
      <c r="AH59" s="82" t="b">
        <v>1</v>
      </c>
      <c r="AI59" s="82" t="s">
        <v>973</v>
      </c>
      <c r="AJ59" s="82"/>
      <c r="AK59" s="87" t="s">
        <v>758</v>
      </c>
      <c r="AL59" s="82" t="b">
        <v>0</v>
      </c>
      <c r="AM59" s="82">
        <v>6</v>
      </c>
      <c r="AN59" s="87" t="s">
        <v>957</v>
      </c>
      <c r="AO59" s="87" t="s">
        <v>977</v>
      </c>
      <c r="AP59" s="82" t="b">
        <v>0</v>
      </c>
      <c r="AQ59" s="87" t="s">
        <v>756</v>
      </c>
      <c r="AR59" s="82" t="s">
        <v>211</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6" t="s">
        <v>274</v>
      </c>
      <c r="B60" s="66" t="s">
        <v>273</v>
      </c>
      <c r="C60" s="67" t="s">
        <v>2139</v>
      </c>
      <c r="D60" s="68">
        <v>3</v>
      </c>
      <c r="E60" s="69" t="s">
        <v>132</v>
      </c>
      <c r="F60" s="70">
        <v>32</v>
      </c>
      <c r="G60" s="67"/>
      <c r="H60" s="71"/>
      <c r="I60" s="72"/>
      <c r="J60" s="72"/>
      <c r="K60" s="35" t="s">
        <v>66</v>
      </c>
      <c r="L60" s="80">
        <v>60</v>
      </c>
      <c r="M60" s="80"/>
      <c r="N60" s="74"/>
      <c r="O60" s="82" t="s">
        <v>329</v>
      </c>
      <c r="P60" s="84">
        <v>44722.82221064815</v>
      </c>
      <c r="Q60" s="82" t="s">
        <v>335</v>
      </c>
      <c r="R60" s="85" t="str">
        <f>HYPERLINK("https://www.caughtbytheriver.net/2022/06/what-remains-rupert-callender-launch-event/")</f>
        <v>https://www.caughtbytheriver.net/2022/06/what-remains-rupert-callender-launch-event/</v>
      </c>
      <c r="S60" s="82" t="s">
        <v>522</v>
      </c>
      <c r="T60" s="82"/>
      <c r="U60" s="85" t="str">
        <f>HYPERLINK("https://pbs.twimg.com/media/FU6OU2PWAAAchwH.jpg")</f>
        <v>https://pbs.twimg.com/media/FU6OU2PWAAAchwH.jpg</v>
      </c>
      <c r="V60" s="85" t="str">
        <f>HYPERLINK("https://pbs.twimg.com/media/FU6OU2PWAAAchwH.jpg")</f>
        <v>https://pbs.twimg.com/media/FU6OU2PWAAAchwH.jpg</v>
      </c>
      <c r="W60" s="84">
        <v>44722.82221064815</v>
      </c>
      <c r="X60" s="89">
        <v>44722</v>
      </c>
      <c r="Y60" s="87" t="s">
        <v>568</v>
      </c>
      <c r="Z60" s="85" t="str">
        <f>HYPERLINK("https://twitter.com/salenagodden/status/1535347063210364929")</f>
        <v>https://twitter.com/salenagodden/status/1535347063210364929</v>
      </c>
      <c r="AA60" s="82"/>
      <c r="AB60" s="82"/>
      <c r="AC60" s="87" t="s">
        <v>757</v>
      </c>
      <c r="AD60" s="82"/>
      <c r="AE60" s="82" t="b">
        <v>0</v>
      </c>
      <c r="AF60" s="82">
        <v>0</v>
      </c>
      <c r="AG60" s="87" t="s">
        <v>957</v>
      </c>
      <c r="AH60" s="82" t="b">
        <v>0</v>
      </c>
      <c r="AI60" s="82" t="s">
        <v>973</v>
      </c>
      <c r="AJ60" s="82"/>
      <c r="AK60" s="87" t="s">
        <v>957</v>
      </c>
      <c r="AL60" s="82" t="b">
        <v>0</v>
      </c>
      <c r="AM60" s="82">
        <v>6</v>
      </c>
      <c r="AN60" s="87" t="s">
        <v>758</v>
      </c>
      <c r="AO60" s="87" t="s">
        <v>977</v>
      </c>
      <c r="AP60" s="82" t="b">
        <v>0</v>
      </c>
      <c r="AQ60" s="87" t="s">
        <v>758</v>
      </c>
      <c r="AR60" s="82" t="s">
        <v>211</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6" t="s">
        <v>274</v>
      </c>
      <c r="B61" s="66" t="s">
        <v>275</v>
      </c>
      <c r="C61" s="67" t="s">
        <v>2139</v>
      </c>
      <c r="D61" s="68">
        <v>3</v>
      </c>
      <c r="E61" s="69" t="s">
        <v>132</v>
      </c>
      <c r="F61" s="70">
        <v>32</v>
      </c>
      <c r="G61" s="67"/>
      <c r="H61" s="71"/>
      <c r="I61" s="72"/>
      <c r="J61" s="72"/>
      <c r="K61" s="35" t="s">
        <v>66</v>
      </c>
      <c r="L61" s="80">
        <v>61</v>
      </c>
      <c r="M61" s="80"/>
      <c r="N61" s="74"/>
      <c r="O61" s="82" t="s">
        <v>330</v>
      </c>
      <c r="P61" s="84">
        <v>44722.82221064815</v>
      </c>
      <c r="Q61" s="82" t="s">
        <v>335</v>
      </c>
      <c r="R61" s="85" t="str">
        <f>HYPERLINK("https://www.caughtbytheriver.net/2022/06/what-remains-rupert-callender-launch-event/")</f>
        <v>https://www.caughtbytheriver.net/2022/06/what-remains-rupert-callender-launch-event/</v>
      </c>
      <c r="S61" s="82" t="s">
        <v>522</v>
      </c>
      <c r="T61" s="82"/>
      <c r="U61" s="85" t="str">
        <f>HYPERLINK("https://pbs.twimg.com/media/FU6OU2PWAAAchwH.jpg")</f>
        <v>https://pbs.twimg.com/media/FU6OU2PWAAAchwH.jpg</v>
      </c>
      <c r="V61" s="85" t="str">
        <f>HYPERLINK("https://pbs.twimg.com/media/FU6OU2PWAAAchwH.jpg")</f>
        <v>https://pbs.twimg.com/media/FU6OU2PWAAAchwH.jpg</v>
      </c>
      <c r="W61" s="84">
        <v>44722.82221064815</v>
      </c>
      <c r="X61" s="89">
        <v>44722</v>
      </c>
      <c r="Y61" s="87" t="s">
        <v>568</v>
      </c>
      <c r="Z61" s="85" t="str">
        <f>HYPERLINK("https://twitter.com/salenagodden/status/1535347063210364929")</f>
        <v>https://twitter.com/salenagodden/status/1535347063210364929</v>
      </c>
      <c r="AA61" s="82"/>
      <c r="AB61" s="82"/>
      <c r="AC61" s="87" t="s">
        <v>757</v>
      </c>
      <c r="AD61" s="82"/>
      <c r="AE61" s="82" t="b">
        <v>0</v>
      </c>
      <c r="AF61" s="82">
        <v>0</v>
      </c>
      <c r="AG61" s="87" t="s">
        <v>957</v>
      </c>
      <c r="AH61" s="82" t="b">
        <v>0</v>
      </c>
      <c r="AI61" s="82" t="s">
        <v>973</v>
      </c>
      <c r="AJ61" s="82"/>
      <c r="AK61" s="87" t="s">
        <v>957</v>
      </c>
      <c r="AL61" s="82" t="b">
        <v>0</v>
      </c>
      <c r="AM61" s="82">
        <v>6</v>
      </c>
      <c r="AN61" s="87" t="s">
        <v>758</v>
      </c>
      <c r="AO61" s="87" t="s">
        <v>977</v>
      </c>
      <c r="AP61" s="82" t="b">
        <v>0</v>
      </c>
      <c r="AQ61" s="87" t="s">
        <v>758</v>
      </c>
      <c r="AR61" s="82" t="s">
        <v>211</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2.5641025641025643</v>
      </c>
      <c r="BH61" s="49">
        <v>1</v>
      </c>
      <c r="BI61" s="50">
        <v>2.5641025641025643</v>
      </c>
      <c r="BJ61" s="49">
        <v>0</v>
      </c>
      <c r="BK61" s="50">
        <v>0</v>
      </c>
      <c r="BL61" s="49">
        <v>37</v>
      </c>
      <c r="BM61" s="50">
        <v>94.87179487179488</v>
      </c>
      <c r="BN61" s="49">
        <v>39</v>
      </c>
    </row>
    <row r="62" spans="1:66" ht="15">
      <c r="A62" s="66" t="s">
        <v>275</v>
      </c>
      <c r="B62" s="66" t="s">
        <v>274</v>
      </c>
      <c r="C62" s="67" t="s">
        <v>2139</v>
      </c>
      <c r="D62" s="68">
        <v>3</v>
      </c>
      <c r="E62" s="69" t="s">
        <v>132</v>
      </c>
      <c r="F62" s="70">
        <v>32</v>
      </c>
      <c r="G62" s="67"/>
      <c r="H62" s="71"/>
      <c r="I62" s="72"/>
      <c r="J62" s="72"/>
      <c r="K62" s="35" t="s">
        <v>66</v>
      </c>
      <c r="L62" s="80">
        <v>62</v>
      </c>
      <c r="M62" s="80"/>
      <c r="N62" s="74"/>
      <c r="O62" s="82" t="s">
        <v>331</v>
      </c>
      <c r="P62" s="84">
        <v>44722.75150462963</v>
      </c>
      <c r="Q62" s="82" t="s">
        <v>335</v>
      </c>
      <c r="R62" s="85" t="str">
        <f>HYPERLINK("https://www.caughtbytheriver.net/2022/06/what-remains-rupert-callender-launch-event/")</f>
        <v>https://www.caughtbytheriver.net/2022/06/what-remains-rupert-callender-launch-event/</v>
      </c>
      <c r="S62" s="82" t="s">
        <v>522</v>
      </c>
      <c r="T62" s="82"/>
      <c r="U62" s="85" t="str">
        <f>HYPERLINK("https://pbs.twimg.com/media/FU6OU2PWAAAchwH.jpg")</f>
        <v>https://pbs.twimg.com/media/FU6OU2PWAAAchwH.jpg</v>
      </c>
      <c r="V62" s="85" t="str">
        <f>HYPERLINK("https://pbs.twimg.com/media/FU6OU2PWAAAchwH.jpg")</f>
        <v>https://pbs.twimg.com/media/FU6OU2PWAAAchwH.jpg</v>
      </c>
      <c r="W62" s="84">
        <v>44722.75150462963</v>
      </c>
      <c r="X62" s="89">
        <v>44722</v>
      </c>
      <c r="Y62" s="87" t="s">
        <v>569</v>
      </c>
      <c r="Z62" s="85" t="str">
        <f>HYPERLINK("https://twitter.com/tweetbytheriver/status/1535321437795500032")</f>
        <v>https://twitter.com/tweetbytheriver/status/1535321437795500032</v>
      </c>
      <c r="AA62" s="82"/>
      <c r="AB62" s="82"/>
      <c r="AC62" s="87" t="s">
        <v>758</v>
      </c>
      <c r="AD62" s="82"/>
      <c r="AE62" s="82" t="b">
        <v>0</v>
      </c>
      <c r="AF62" s="82">
        <v>20</v>
      </c>
      <c r="AG62" s="87" t="s">
        <v>957</v>
      </c>
      <c r="AH62" s="82" t="b">
        <v>0</v>
      </c>
      <c r="AI62" s="82" t="s">
        <v>973</v>
      </c>
      <c r="AJ62" s="82"/>
      <c r="AK62" s="87" t="s">
        <v>957</v>
      </c>
      <c r="AL62" s="82" t="b">
        <v>0</v>
      </c>
      <c r="AM62" s="82">
        <v>6</v>
      </c>
      <c r="AN62" s="87" t="s">
        <v>957</v>
      </c>
      <c r="AO62" s="87" t="s">
        <v>978</v>
      </c>
      <c r="AP62" s="82" t="b">
        <v>0</v>
      </c>
      <c r="AQ62" s="87" t="s">
        <v>758</v>
      </c>
      <c r="AR62" s="82" t="s">
        <v>211</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6" t="s">
        <v>275</v>
      </c>
      <c r="B63" s="66" t="s">
        <v>274</v>
      </c>
      <c r="C63" s="67" t="s">
        <v>2139</v>
      </c>
      <c r="D63" s="68">
        <v>3</v>
      </c>
      <c r="E63" s="69" t="s">
        <v>132</v>
      </c>
      <c r="F63" s="70">
        <v>32</v>
      </c>
      <c r="G63" s="67"/>
      <c r="H63" s="71"/>
      <c r="I63" s="72"/>
      <c r="J63" s="72"/>
      <c r="K63" s="35" t="s">
        <v>66</v>
      </c>
      <c r="L63" s="80">
        <v>63</v>
      </c>
      <c r="M63" s="80"/>
      <c r="N63" s="74"/>
      <c r="O63" s="82" t="s">
        <v>329</v>
      </c>
      <c r="P63" s="84">
        <v>44725.59982638889</v>
      </c>
      <c r="Q63" s="82" t="s">
        <v>335</v>
      </c>
      <c r="R63" s="85" t="str">
        <f>HYPERLINK("https://www.caughtbytheriver.net/2022/06/what-remains-rupert-callender-launch-event/")</f>
        <v>https://www.caughtbytheriver.net/2022/06/what-remains-rupert-callender-launch-event/</v>
      </c>
      <c r="S63" s="82" t="s">
        <v>522</v>
      </c>
      <c r="T63" s="82"/>
      <c r="U63" s="85" t="str">
        <f>HYPERLINK("https://pbs.twimg.com/media/FU6OU2PWAAAchwH.jpg")</f>
        <v>https://pbs.twimg.com/media/FU6OU2PWAAAchwH.jpg</v>
      </c>
      <c r="V63" s="85" t="str">
        <f>HYPERLINK("https://pbs.twimg.com/media/FU6OU2PWAAAchwH.jpg")</f>
        <v>https://pbs.twimg.com/media/FU6OU2PWAAAchwH.jpg</v>
      </c>
      <c r="W63" s="84">
        <v>44725.59982638889</v>
      </c>
      <c r="X63" s="89">
        <v>44725</v>
      </c>
      <c r="Y63" s="87" t="s">
        <v>570</v>
      </c>
      <c r="Z63" s="85" t="str">
        <f>HYPERLINK("https://twitter.com/tweetbytheriver/status/1536353634769940487")</f>
        <v>https://twitter.com/tweetbytheriver/status/1536353634769940487</v>
      </c>
      <c r="AA63" s="82"/>
      <c r="AB63" s="82"/>
      <c r="AC63" s="87" t="s">
        <v>759</v>
      </c>
      <c r="AD63" s="82"/>
      <c r="AE63" s="82" t="b">
        <v>0</v>
      </c>
      <c r="AF63" s="82">
        <v>0</v>
      </c>
      <c r="AG63" s="87" t="s">
        <v>957</v>
      </c>
      <c r="AH63" s="82" t="b">
        <v>0</v>
      </c>
      <c r="AI63" s="82" t="s">
        <v>973</v>
      </c>
      <c r="AJ63" s="82"/>
      <c r="AK63" s="87" t="s">
        <v>957</v>
      </c>
      <c r="AL63" s="82" t="b">
        <v>0</v>
      </c>
      <c r="AM63" s="82">
        <v>6</v>
      </c>
      <c r="AN63" s="87" t="s">
        <v>758</v>
      </c>
      <c r="AO63" s="87" t="s">
        <v>978</v>
      </c>
      <c r="AP63" s="82" t="b">
        <v>0</v>
      </c>
      <c r="AQ63" s="87" t="s">
        <v>758</v>
      </c>
      <c r="AR63" s="82" t="s">
        <v>211</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6" t="s">
        <v>276</v>
      </c>
      <c r="B64" s="66" t="s">
        <v>274</v>
      </c>
      <c r="C64" s="67" t="s">
        <v>2139</v>
      </c>
      <c r="D64" s="68">
        <v>3</v>
      </c>
      <c r="E64" s="69" t="s">
        <v>132</v>
      </c>
      <c r="F64" s="70">
        <v>32</v>
      </c>
      <c r="G64" s="67"/>
      <c r="H64" s="71"/>
      <c r="I64" s="72"/>
      <c r="J64" s="72"/>
      <c r="K64" s="35" t="s">
        <v>65</v>
      </c>
      <c r="L64" s="80">
        <v>64</v>
      </c>
      <c r="M64" s="80"/>
      <c r="N64" s="74"/>
      <c r="O64" s="82" t="s">
        <v>329</v>
      </c>
      <c r="P64" s="84">
        <v>44725.63232638889</v>
      </c>
      <c r="Q64" s="82" t="s">
        <v>335</v>
      </c>
      <c r="R64" s="85" t="str">
        <f>HYPERLINK("https://www.caughtbytheriver.net/2022/06/what-remains-rupert-callender-launch-event/")</f>
        <v>https://www.caughtbytheriver.net/2022/06/what-remains-rupert-callender-launch-event/</v>
      </c>
      <c r="S64" s="82" t="s">
        <v>522</v>
      </c>
      <c r="T64" s="82"/>
      <c r="U64" s="85" t="str">
        <f>HYPERLINK("https://pbs.twimg.com/media/FU6OU2PWAAAchwH.jpg")</f>
        <v>https://pbs.twimg.com/media/FU6OU2PWAAAchwH.jpg</v>
      </c>
      <c r="V64" s="85" t="str">
        <f>HYPERLINK("https://pbs.twimg.com/media/FU6OU2PWAAAchwH.jpg")</f>
        <v>https://pbs.twimg.com/media/FU6OU2PWAAAchwH.jpg</v>
      </c>
      <c r="W64" s="84">
        <v>44725.63232638889</v>
      </c>
      <c r="X64" s="89">
        <v>44725</v>
      </c>
      <c r="Y64" s="87" t="s">
        <v>571</v>
      </c>
      <c r="Z64" s="85" t="str">
        <f>HYPERLINK("https://twitter.com/chiltonbell/status/1536365412966883329")</f>
        <v>https://twitter.com/chiltonbell/status/1536365412966883329</v>
      </c>
      <c r="AA64" s="82"/>
      <c r="AB64" s="82"/>
      <c r="AC64" s="87" t="s">
        <v>760</v>
      </c>
      <c r="AD64" s="82"/>
      <c r="AE64" s="82" t="b">
        <v>0</v>
      </c>
      <c r="AF64" s="82">
        <v>0</v>
      </c>
      <c r="AG64" s="87" t="s">
        <v>957</v>
      </c>
      <c r="AH64" s="82" t="b">
        <v>0</v>
      </c>
      <c r="AI64" s="82" t="s">
        <v>973</v>
      </c>
      <c r="AJ64" s="82"/>
      <c r="AK64" s="87" t="s">
        <v>957</v>
      </c>
      <c r="AL64" s="82" t="b">
        <v>0</v>
      </c>
      <c r="AM64" s="82">
        <v>6</v>
      </c>
      <c r="AN64" s="87" t="s">
        <v>758</v>
      </c>
      <c r="AO64" s="87" t="s">
        <v>978</v>
      </c>
      <c r="AP64" s="82" t="b">
        <v>0</v>
      </c>
      <c r="AQ64" s="87" t="s">
        <v>758</v>
      </c>
      <c r="AR64" s="82" t="s">
        <v>211</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6" t="s">
        <v>273</v>
      </c>
      <c r="B65" s="66" t="s">
        <v>275</v>
      </c>
      <c r="C65" s="67" t="s">
        <v>2139</v>
      </c>
      <c r="D65" s="68">
        <v>3</v>
      </c>
      <c r="E65" s="69" t="s">
        <v>132</v>
      </c>
      <c r="F65" s="70">
        <v>32</v>
      </c>
      <c r="G65" s="67"/>
      <c r="H65" s="71"/>
      <c r="I65" s="72"/>
      <c r="J65" s="72"/>
      <c r="K65" s="35" t="s">
        <v>66</v>
      </c>
      <c r="L65" s="80">
        <v>65</v>
      </c>
      <c r="M65" s="80"/>
      <c r="N65" s="74"/>
      <c r="O65" s="82" t="s">
        <v>331</v>
      </c>
      <c r="P65" s="84">
        <v>44722.75974537037</v>
      </c>
      <c r="Q65" s="82" t="s">
        <v>336</v>
      </c>
      <c r="R65" s="85" t="str">
        <f>HYPERLINK("https://twitter.com/tweetbytheriver/status/1535321437795500032")</f>
        <v>https://twitter.com/tweetbytheriver/status/1535321437795500032</v>
      </c>
      <c r="S65" s="82" t="s">
        <v>523</v>
      </c>
      <c r="T65" s="82"/>
      <c r="U65" s="82"/>
      <c r="V65" s="85" t="str">
        <f>HYPERLINK("https://pbs.twimg.com/profile_images/1162139708023029762/Hr_ZqPcm_normal.jpg")</f>
        <v>https://pbs.twimg.com/profile_images/1162139708023029762/Hr_ZqPcm_normal.jpg</v>
      </c>
      <c r="W65" s="84">
        <v>44722.75974537037</v>
      </c>
      <c r="X65" s="89">
        <v>44722</v>
      </c>
      <c r="Y65" s="87" t="s">
        <v>567</v>
      </c>
      <c r="Z65" s="85" t="str">
        <f>HYPERLINK("https://twitter.com/wayswithweirds/status/1535324424731246592")</f>
        <v>https://twitter.com/wayswithweirds/status/1535324424731246592</v>
      </c>
      <c r="AA65" s="82"/>
      <c r="AB65" s="82"/>
      <c r="AC65" s="87" t="s">
        <v>756</v>
      </c>
      <c r="AD65" s="82"/>
      <c r="AE65" s="82" t="b">
        <v>0</v>
      </c>
      <c r="AF65" s="82">
        <v>43</v>
      </c>
      <c r="AG65" s="87" t="s">
        <v>957</v>
      </c>
      <c r="AH65" s="82" t="b">
        <v>1</v>
      </c>
      <c r="AI65" s="82" t="s">
        <v>973</v>
      </c>
      <c r="AJ65" s="82"/>
      <c r="AK65" s="87" t="s">
        <v>758</v>
      </c>
      <c r="AL65" s="82" t="b">
        <v>0</v>
      </c>
      <c r="AM65" s="82">
        <v>6</v>
      </c>
      <c r="AN65" s="87" t="s">
        <v>957</v>
      </c>
      <c r="AO65" s="87" t="s">
        <v>977</v>
      </c>
      <c r="AP65" s="82" t="b">
        <v>0</v>
      </c>
      <c r="AQ65" s="87" t="s">
        <v>756</v>
      </c>
      <c r="AR65" s="82" t="s">
        <v>211</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3</v>
      </c>
      <c r="BG65" s="50">
        <v>17.647058823529413</v>
      </c>
      <c r="BH65" s="49">
        <v>0</v>
      </c>
      <c r="BI65" s="50">
        <v>0</v>
      </c>
      <c r="BJ65" s="49">
        <v>0</v>
      </c>
      <c r="BK65" s="50">
        <v>0</v>
      </c>
      <c r="BL65" s="49">
        <v>14</v>
      </c>
      <c r="BM65" s="50">
        <v>82.3529411764706</v>
      </c>
      <c r="BN65" s="49">
        <v>17</v>
      </c>
    </row>
    <row r="66" spans="1:66" ht="15">
      <c r="A66" s="66" t="s">
        <v>275</v>
      </c>
      <c r="B66" s="66" t="s">
        <v>273</v>
      </c>
      <c r="C66" s="67" t="s">
        <v>2139</v>
      </c>
      <c r="D66" s="68">
        <v>3</v>
      </c>
      <c r="E66" s="69" t="s">
        <v>132</v>
      </c>
      <c r="F66" s="70">
        <v>32</v>
      </c>
      <c r="G66" s="67"/>
      <c r="H66" s="71"/>
      <c r="I66" s="72"/>
      <c r="J66" s="72"/>
      <c r="K66" s="35" t="s">
        <v>66</v>
      </c>
      <c r="L66" s="80">
        <v>66</v>
      </c>
      <c r="M66" s="80"/>
      <c r="N66" s="74"/>
      <c r="O66" s="82" t="s">
        <v>331</v>
      </c>
      <c r="P66" s="84">
        <v>44722.75150462963</v>
      </c>
      <c r="Q66" s="82" t="s">
        <v>335</v>
      </c>
      <c r="R66" s="85" t="str">
        <f>HYPERLINK("https://www.caughtbytheriver.net/2022/06/what-remains-rupert-callender-launch-event/")</f>
        <v>https://www.caughtbytheriver.net/2022/06/what-remains-rupert-callender-launch-event/</v>
      </c>
      <c r="S66" s="82" t="s">
        <v>522</v>
      </c>
      <c r="T66" s="82"/>
      <c r="U66" s="85" t="str">
        <f>HYPERLINK("https://pbs.twimg.com/media/FU6OU2PWAAAchwH.jpg")</f>
        <v>https://pbs.twimg.com/media/FU6OU2PWAAAchwH.jpg</v>
      </c>
      <c r="V66" s="85" t="str">
        <f>HYPERLINK("https://pbs.twimg.com/media/FU6OU2PWAAAchwH.jpg")</f>
        <v>https://pbs.twimg.com/media/FU6OU2PWAAAchwH.jpg</v>
      </c>
      <c r="W66" s="84">
        <v>44722.75150462963</v>
      </c>
      <c r="X66" s="89">
        <v>44722</v>
      </c>
      <c r="Y66" s="87" t="s">
        <v>569</v>
      </c>
      <c r="Z66" s="85" t="str">
        <f>HYPERLINK("https://twitter.com/tweetbytheriver/status/1535321437795500032")</f>
        <v>https://twitter.com/tweetbytheriver/status/1535321437795500032</v>
      </c>
      <c r="AA66" s="82"/>
      <c r="AB66" s="82"/>
      <c r="AC66" s="87" t="s">
        <v>758</v>
      </c>
      <c r="AD66" s="82"/>
      <c r="AE66" s="82" t="b">
        <v>0</v>
      </c>
      <c r="AF66" s="82">
        <v>20</v>
      </c>
      <c r="AG66" s="87" t="s">
        <v>957</v>
      </c>
      <c r="AH66" s="82" t="b">
        <v>0</v>
      </c>
      <c r="AI66" s="82" t="s">
        <v>973</v>
      </c>
      <c r="AJ66" s="82"/>
      <c r="AK66" s="87" t="s">
        <v>957</v>
      </c>
      <c r="AL66" s="82" t="b">
        <v>0</v>
      </c>
      <c r="AM66" s="82">
        <v>6</v>
      </c>
      <c r="AN66" s="87" t="s">
        <v>957</v>
      </c>
      <c r="AO66" s="87" t="s">
        <v>978</v>
      </c>
      <c r="AP66" s="82" t="b">
        <v>0</v>
      </c>
      <c r="AQ66" s="87" t="s">
        <v>758</v>
      </c>
      <c r="AR66" s="82" t="s">
        <v>211</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2.5641025641025643</v>
      </c>
      <c r="BH66" s="49">
        <v>1</v>
      </c>
      <c r="BI66" s="50">
        <v>2.5641025641025643</v>
      </c>
      <c r="BJ66" s="49">
        <v>0</v>
      </c>
      <c r="BK66" s="50">
        <v>0</v>
      </c>
      <c r="BL66" s="49">
        <v>37</v>
      </c>
      <c r="BM66" s="50">
        <v>94.87179487179488</v>
      </c>
      <c r="BN66" s="49">
        <v>39</v>
      </c>
    </row>
    <row r="67" spans="1:66" ht="15">
      <c r="A67" s="66" t="s">
        <v>275</v>
      </c>
      <c r="B67" s="66" t="s">
        <v>273</v>
      </c>
      <c r="C67" s="67" t="s">
        <v>2139</v>
      </c>
      <c r="D67" s="68">
        <v>3</v>
      </c>
      <c r="E67" s="69" t="s">
        <v>132</v>
      </c>
      <c r="F67" s="70">
        <v>32</v>
      </c>
      <c r="G67" s="67"/>
      <c r="H67" s="71"/>
      <c r="I67" s="72"/>
      <c r="J67" s="72"/>
      <c r="K67" s="35" t="s">
        <v>66</v>
      </c>
      <c r="L67" s="80">
        <v>67</v>
      </c>
      <c r="M67" s="80"/>
      <c r="N67" s="74"/>
      <c r="O67" s="82" t="s">
        <v>329</v>
      </c>
      <c r="P67" s="84">
        <v>44725.59982638889</v>
      </c>
      <c r="Q67" s="82" t="s">
        <v>335</v>
      </c>
      <c r="R67" s="85" t="str">
        <f>HYPERLINK("https://www.caughtbytheriver.net/2022/06/what-remains-rupert-callender-launch-event/")</f>
        <v>https://www.caughtbytheriver.net/2022/06/what-remains-rupert-callender-launch-event/</v>
      </c>
      <c r="S67" s="82" t="s">
        <v>522</v>
      </c>
      <c r="T67" s="82"/>
      <c r="U67" s="85" t="str">
        <f>HYPERLINK("https://pbs.twimg.com/media/FU6OU2PWAAAchwH.jpg")</f>
        <v>https://pbs.twimg.com/media/FU6OU2PWAAAchwH.jpg</v>
      </c>
      <c r="V67" s="85" t="str">
        <f>HYPERLINK("https://pbs.twimg.com/media/FU6OU2PWAAAchwH.jpg")</f>
        <v>https://pbs.twimg.com/media/FU6OU2PWAAAchwH.jpg</v>
      </c>
      <c r="W67" s="84">
        <v>44725.59982638889</v>
      </c>
      <c r="X67" s="89">
        <v>44725</v>
      </c>
      <c r="Y67" s="87" t="s">
        <v>570</v>
      </c>
      <c r="Z67" s="85" t="str">
        <f>HYPERLINK("https://twitter.com/tweetbytheriver/status/1536353634769940487")</f>
        <v>https://twitter.com/tweetbytheriver/status/1536353634769940487</v>
      </c>
      <c r="AA67" s="82"/>
      <c r="AB67" s="82"/>
      <c r="AC67" s="87" t="s">
        <v>759</v>
      </c>
      <c r="AD67" s="82"/>
      <c r="AE67" s="82" t="b">
        <v>0</v>
      </c>
      <c r="AF67" s="82">
        <v>0</v>
      </c>
      <c r="AG67" s="87" t="s">
        <v>957</v>
      </c>
      <c r="AH67" s="82" t="b">
        <v>0</v>
      </c>
      <c r="AI67" s="82" t="s">
        <v>973</v>
      </c>
      <c r="AJ67" s="82"/>
      <c r="AK67" s="87" t="s">
        <v>957</v>
      </c>
      <c r="AL67" s="82" t="b">
        <v>0</v>
      </c>
      <c r="AM67" s="82">
        <v>6</v>
      </c>
      <c r="AN67" s="87" t="s">
        <v>758</v>
      </c>
      <c r="AO67" s="87" t="s">
        <v>978</v>
      </c>
      <c r="AP67" s="82" t="b">
        <v>0</v>
      </c>
      <c r="AQ67" s="87" t="s">
        <v>758</v>
      </c>
      <c r="AR67" s="82" t="s">
        <v>211</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276</v>
      </c>
      <c r="B68" s="66" t="s">
        <v>273</v>
      </c>
      <c r="C68" s="67" t="s">
        <v>2139</v>
      </c>
      <c r="D68" s="68">
        <v>3</v>
      </c>
      <c r="E68" s="69" t="s">
        <v>132</v>
      </c>
      <c r="F68" s="70">
        <v>32</v>
      </c>
      <c r="G68" s="67"/>
      <c r="H68" s="71"/>
      <c r="I68" s="72"/>
      <c r="J68" s="72"/>
      <c r="K68" s="35" t="s">
        <v>65</v>
      </c>
      <c r="L68" s="80">
        <v>68</v>
      </c>
      <c r="M68" s="80"/>
      <c r="N68" s="74"/>
      <c r="O68" s="82" t="s">
        <v>329</v>
      </c>
      <c r="P68" s="84">
        <v>44725.63232638889</v>
      </c>
      <c r="Q68" s="82" t="s">
        <v>335</v>
      </c>
      <c r="R68" s="85" t="str">
        <f>HYPERLINK("https://www.caughtbytheriver.net/2022/06/what-remains-rupert-callender-launch-event/")</f>
        <v>https://www.caughtbytheriver.net/2022/06/what-remains-rupert-callender-launch-event/</v>
      </c>
      <c r="S68" s="82" t="s">
        <v>522</v>
      </c>
      <c r="T68" s="82"/>
      <c r="U68" s="85" t="str">
        <f>HYPERLINK("https://pbs.twimg.com/media/FU6OU2PWAAAchwH.jpg")</f>
        <v>https://pbs.twimg.com/media/FU6OU2PWAAAchwH.jpg</v>
      </c>
      <c r="V68" s="85" t="str">
        <f>HYPERLINK("https://pbs.twimg.com/media/FU6OU2PWAAAchwH.jpg")</f>
        <v>https://pbs.twimg.com/media/FU6OU2PWAAAchwH.jpg</v>
      </c>
      <c r="W68" s="84">
        <v>44725.63232638889</v>
      </c>
      <c r="X68" s="89">
        <v>44725</v>
      </c>
      <c r="Y68" s="87" t="s">
        <v>571</v>
      </c>
      <c r="Z68" s="85" t="str">
        <f>HYPERLINK("https://twitter.com/chiltonbell/status/1536365412966883329")</f>
        <v>https://twitter.com/chiltonbell/status/1536365412966883329</v>
      </c>
      <c r="AA68" s="82"/>
      <c r="AB68" s="82"/>
      <c r="AC68" s="87" t="s">
        <v>760</v>
      </c>
      <c r="AD68" s="82"/>
      <c r="AE68" s="82" t="b">
        <v>0</v>
      </c>
      <c r="AF68" s="82">
        <v>0</v>
      </c>
      <c r="AG68" s="87" t="s">
        <v>957</v>
      </c>
      <c r="AH68" s="82" t="b">
        <v>0</v>
      </c>
      <c r="AI68" s="82" t="s">
        <v>973</v>
      </c>
      <c r="AJ68" s="82"/>
      <c r="AK68" s="87" t="s">
        <v>957</v>
      </c>
      <c r="AL68" s="82" t="b">
        <v>0</v>
      </c>
      <c r="AM68" s="82">
        <v>6</v>
      </c>
      <c r="AN68" s="87" t="s">
        <v>758</v>
      </c>
      <c r="AO68" s="87" t="s">
        <v>978</v>
      </c>
      <c r="AP68" s="82" t="b">
        <v>0</v>
      </c>
      <c r="AQ68" s="87" t="s">
        <v>758</v>
      </c>
      <c r="AR68" s="82" t="s">
        <v>211</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275</v>
      </c>
      <c r="B69" s="66" t="s">
        <v>275</v>
      </c>
      <c r="C69" s="67" t="s">
        <v>2139</v>
      </c>
      <c r="D69" s="68">
        <v>3</v>
      </c>
      <c r="E69" s="69" t="s">
        <v>132</v>
      </c>
      <c r="F69" s="70">
        <v>32</v>
      </c>
      <c r="G69" s="67"/>
      <c r="H69" s="71"/>
      <c r="I69" s="72"/>
      <c r="J69" s="72"/>
      <c r="K69" s="35" t="s">
        <v>65</v>
      </c>
      <c r="L69" s="80">
        <v>69</v>
      </c>
      <c r="M69" s="80"/>
      <c r="N69" s="74"/>
      <c r="O69" s="82" t="s">
        <v>330</v>
      </c>
      <c r="P69" s="84">
        <v>44725.59982638889</v>
      </c>
      <c r="Q69" s="82" t="s">
        <v>335</v>
      </c>
      <c r="R69" s="85" t="str">
        <f>HYPERLINK("https://www.caughtbytheriver.net/2022/06/what-remains-rupert-callender-launch-event/")</f>
        <v>https://www.caughtbytheriver.net/2022/06/what-remains-rupert-callender-launch-event/</v>
      </c>
      <c r="S69" s="82" t="s">
        <v>522</v>
      </c>
      <c r="T69" s="82"/>
      <c r="U69" s="85" t="str">
        <f>HYPERLINK("https://pbs.twimg.com/media/FU6OU2PWAAAchwH.jpg")</f>
        <v>https://pbs.twimg.com/media/FU6OU2PWAAAchwH.jpg</v>
      </c>
      <c r="V69" s="85" t="str">
        <f>HYPERLINK("https://pbs.twimg.com/media/FU6OU2PWAAAchwH.jpg")</f>
        <v>https://pbs.twimg.com/media/FU6OU2PWAAAchwH.jpg</v>
      </c>
      <c r="W69" s="84">
        <v>44725.59982638889</v>
      </c>
      <c r="X69" s="89">
        <v>44725</v>
      </c>
      <c r="Y69" s="87" t="s">
        <v>570</v>
      </c>
      <c r="Z69" s="85" t="str">
        <f>HYPERLINK("https://twitter.com/tweetbytheriver/status/1536353634769940487")</f>
        <v>https://twitter.com/tweetbytheriver/status/1536353634769940487</v>
      </c>
      <c r="AA69" s="82"/>
      <c r="AB69" s="82"/>
      <c r="AC69" s="87" t="s">
        <v>759</v>
      </c>
      <c r="AD69" s="82"/>
      <c r="AE69" s="82" t="b">
        <v>0</v>
      </c>
      <c r="AF69" s="82">
        <v>0</v>
      </c>
      <c r="AG69" s="87" t="s">
        <v>957</v>
      </c>
      <c r="AH69" s="82" t="b">
        <v>0</v>
      </c>
      <c r="AI69" s="82" t="s">
        <v>973</v>
      </c>
      <c r="AJ69" s="82"/>
      <c r="AK69" s="87" t="s">
        <v>957</v>
      </c>
      <c r="AL69" s="82" t="b">
        <v>0</v>
      </c>
      <c r="AM69" s="82">
        <v>6</v>
      </c>
      <c r="AN69" s="87" t="s">
        <v>758</v>
      </c>
      <c r="AO69" s="87" t="s">
        <v>978</v>
      </c>
      <c r="AP69" s="82" t="b">
        <v>0</v>
      </c>
      <c r="AQ69" s="87" t="s">
        <v>758</v>
      </c>
      <c r="AR69" s="82" t="s">
        <v>211</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2.5641025641025643</v>
      </c>
      <c r="BH69" s="49">
        <v>1</v>
      </c>
      <c r="BI69" s="50">
        <v>2.5641025641025643</v>
      </c>
      <c r="BJ69" s="49">
        <v>0</v>
      </c>
      <c r="BK69" s="50">
        <v>0</v>
      </c>
      <c r="BL69" s="49">
        <v>37</v>
      </c>
      <c r="BM69" s="50">
        <v>94.87179487179488</v>
      </c>
      <c r="BN69" s="49">
        <v>39</v>
      </c>
    </row>
    <row r="70" spans="1:66" ht="15">
      <c r="A70" s="66" t="s">
        <v>276</v>
      </c>
      <c r="B70" s="66" t="s">
        <v>275</v>
      </c>
      <c r="C70" s="67" t="s">
        <v>2139</v>
      </c>
      <c r="D70" s="68">
        <v>3</v>
      </c>
      <c r="E70" s="69" t="s">
        <v>132</v>
      </c>
      <c r="F70" s="70">
        <v>32</v>
      </c>
      <c r="G70" s="67"/>
      <c r="H70" s="71"/>
      <c r="I70" s="72"/>
      <c r="J70" s="72"/>
      <c r="K70" s="35" t="s">
        <v>65</v>
      </c>
      <c r="L70" s="80">
        <v>70</v>
      </c>
      <c r="M70" s="80"/>
      <c r="N70" s="74"/>
      <c r="O70" s="82" t="s">
        <v>330</v>
      </c>
      <c r="P70" s="84">
        <v>44725.63232638889</v>
      </c>
      <c r="Q70" s="82" t="s">
        <v>335</v>
      </c>
      <c r="R70" s="85" t="str">
        <f>HYPERLINK("https://www.caughtbytheriver.net/2022/06/what-remains-rupert-callender-launch-event/")</f>
        <v>https://www.caughtbytheriver.net/2022/06/what-remains-rupert-callender-launch-event/</v>
      </c>
      <c r="S70" s="82" t="s">
        <v>522</v>
      </c>
      <c r="T70" s="82"/>
      <c r="U70" s="85" t="str">
        <f>HYPERLINK("https://pbs.twimg.com/media/FU6OU2PWAAAchwH.jpg")</f>
        <v>https://pbs.twimg.com/media/FU6OU2PWAAAchwH.jpg</v>
      </c>
      <c r="V70" s="85" t="str">
        <f>HYPERLINK("https://pbs.twimg.com/media/FU6OU2PWAAAchwH.jpg")</f>
        <v>https://pbs.twimg.com/media/FU6OU2PWAAAchwH.jpg</v>
      </c>
      <c r="W70" s="84">
        <v>44725.63232638889</v>
      </c>
      <c r="X70" s="89">
        <v>44725</v>
      </c>
      <c r="Y70" s="87" t="s">
        <v>571</v>
      </c>
      <c r="Z70" s="85" t="str">
        <f>HYPERLINK("https://twitter.com/chiltonbell/status/1536365412966883329")</f>
        <v>https://twitter.com/chiltonbell/status/1536365412966883329</v>
      </c>
      <c r="AA70" s="82"/>
      <c r="AB70" s="82"/>
      <c r="AC70" s="87" t="s">
        <v>760</v>
      </c>
      <c r="AD70" s="82"/>
      <c r="AE70" s="82" t="b">
        <v>0</v>
      </c>
      <c r="AF70" s="82">
        <v>0</v>
      </c>
      <c r="AG70" s="87" t="s">
        <v>957</v>
      </c>
      <c r="AH70" s="82" t="b">
        <v>0</v>
      </c>
      <c r="AI70" s="82" t="s">
        <v>973</v>
      </c>
      <c r="AJ70" s="82"/>
      <c r="AK70" s="87" t="s">
        <v>957</v>
      </c>
      <c r="AL70" s="82" t="b">
        <v>0</v>
      </c>
      <c r="AM70" s="82">
        <v>6</v>
      </c>
      <c r="AN70" s="87" t="s">
        <v>758</v>
      </c>
      <c r="AO70" s="87" t="s">
        <v>978</v>
      </c>
      <c r="AP70" s="82" t="b">
        <v>0</v>
      </c>
      <c r="AQ70" s="87" t="s">
        <v>758</v>
      </c>
      <c r="AR70" s="82" t="s">
        <v>211</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1</v>
      </c>
      <c r="BG70" s="50">
        <v>2.5641025641025643</v>
      </c>
      <c r="BH70" s="49">
        <v>1</v>
      </c>
      <c r="BI70" s="50">
        <v>2.5641025641025643</v>
      </c>
      <c r="BJ70" s="49">
        <v>0</v>
      </c>
      <c r="BK70" s="50">
        <v>0</v>
      </c>
      <c r="BL70" s="49">
        <v>37</v>
      </c>
      <c r="BM70" s="50">
        <v>94.87179487179488</v>
      </c>
      <c r="BN70" s="49">
        <v>39</v>
      </c>
    </row>
    <row r="71" spans="1:66" ht="15">
      <c r="A71" s="66" t="s">
        <v>277</v>
      </c>
      <c r="B71" s="66" t="s">
        <v>309</v>
      </c>
      <c r="C71" s="67" t="s">
        <v>2139</v>
      </c>
      <c r="D71" s="68">
        <v>3</v>
      </c>
      <c r="E71" s="69" t="s">
        <v>132</v>
      </c>
      <c r="F71" s="70">
        <v>32</v>
      </c>
      <c r="G71" s="67"/>
      <c r="H71" s="71"/>
      <c r="I71" s="72"/>
      <c r="J71" s="72"/>
      <c r="K71" s="35" t="s">
        <v>65</v>
      </c>
      <c r="L71" s="80">
        <v>71</v>
      </c>
      <c r="M71" s="80"/>
      <c r="N71" s="74"/>
      <c r="O71" s="82" t="s">
        <v>332</v>
      </c>
      <c r="P71" s="84">
        <v>44725.68158564815</v>
      </c>
      <c r="Q71" s="82" t="s">
        <v>348</v>
      </c>
      <c r="R71" s="85" t="str">
        <f>HYPERLINK("https://radiolento.podbean.com/e/the-canal-and-the-window-under-the-m6-at-spaghetti-junction/")</f>
        <v>https://radiolento.podbean.com/e/the-canal-and-the-window-under-the-m6-at-spaghetti-junction/</v>
      </c>
      <c r="S71" s="82" t="s">
        <v>528</v>
      </c>
      <c r="T71" s="87" t="s">
        <v>536</v>
      </c>
      <c r="U71" s="85" t="str">
        <f>HYPERLINK("https://pbs.twimg.com/media/FVJUAe8XsAQ7_5O.jpg")</f>
        <v>https://pbs.twimg.com/media/FVJUAe8XsAQ7_5O.jpg</v>
      </c>
      <c r="V71" s="85" t="str">
        <f>HYPERLINK("https://pbs.twimg.com/media/FVJUAe8XsAQ7_5O.jpg")</f>
        <v>https://pbs.twimg.com/media/FVJUAe8XsAQ7_5O.jpg</v>
      </c>
      <c r="W71" s="84">
        <v>44725.68158564815</v>
      </c>
      <c r="X71" s="89">
        <v>44725</v>
      </c>
      <c r="Y71" s="87" t="s">
        <v>572</v>
      </c>
      <c r="Z71" s="85" t="str">
        <f>HYPERLINK("https://twitter.com/radiolento/status/1536383262393868291")</f>
        <v>https://twitter.com/radiolento/status/1536383262393868291</v>
      </c>
      <c r="AA71" s="82"/>
      <c r="AB71" s="82"/>
      <c r="AC71" s="87" t="s">
        <v>761</v>
      </c>
      <c r="AD71" s="87" t="s">
        <v>940</v>
      </c>
      <c r="AE71" s="82" t="b">
        <v>0</v>
      </c>
      <c r="AF71" s="82">
        <v>0</v>
      </c>
      <c r="AG71" s="87" t="s">
        <v>961</v>
      </c>
      <c r="AH71" s="82" t="b">
        <v>0</v>
      </c>
      <c r="AI71" s="82" t="s">
        <v>973</v>
      </c>
      <c r="AJ71" s="82"/>
      <c r="AK71" s="87" t="s">
        <v>957</v>
      </c>
      <c r="AL71" s="82" t="b">
        <v>0</v>
      </c>
      <c r="AM71" s="82">
        <v>0</v>
      </c>
      <c r="AN71" s="87" t="s">
        <v>957</v>
      </c>
      <c r="AO71" s="87" t="s">
        <v>978</v>
      </c>
      <c r="AP71" s="82" t="b">
        <v>0</v>
      </c>
      <c r="AQ71" s="87" t="s">
        <v>940</v>
      </c>
      <c r="AR71" s="82" t="s">
        <v>211</v>
      </c>
      <c r="AS71" s="82">
        <v>0</v>
      </c>
      <c r="AT71" s="82">
        <v>0</v>
      </c>
      <c r="AU71" s="82"/>
      <c r="AV71" s="82"/>
      <c r="AW71" s="82"/>
      <c r="AX71" s="82"/>
      <c r="AY71" s="82"/>
      <c r="AZ71" s="82"/>
      <c r="BA71" s="82"/>
      <c r="BB71" s="82"/>
      <c r="BC71">
        <v>1</v>
      </c>
      <c r="BD71" s="81" t="str">
        <f>REPLACE(INDEX(GroupVertices[Group],MATCH(Edges[[#This Row],[Vertex 1]],GroupVertices[Vertex],0)),1,1,"")</f>
        <v>17</v>
      </c>
      <c r="BE71" s="81" t="str">
        <f>REPLACE(INDEX(GroupVertices[Group],MATCH(Edges[[#This Row],[Vertex 2]],GroupVertices[Vertex],0)),1,1,"")</f>
        <v>17</v>
      </c>
      <c r="BF71" s="49">
        <v>1</v>
      </c>
      <c r="BG71" s="50">
        <v>4.761904761904762</v>
      </c>
      <c r="BH71" s="49">
        <v>0</v>
      </c>
      <c r="BI71" s="50">
        <v>0</v>
      </c>
      <c r="BJ71" s="49">
        <v>0</v>
      </c>
      <c r="BK71" s="50">
        <v>0</v>
      </c>
      <c r="BL71" s="49">
        <v>20</v>
      </c>
      <c r="BM71" s="50">
        <v>95.23809523809524</v>
      </c>
      <c r="BN71" s="49">
        <v>21</v>
      </c>
    </row>
    <row r="72" spans="1:66" ht="15">
      <c r="A72" s="66" t="s">
        <v>278</v>
      </c>
      <c r="B72" s="66" t="s">
        <v>278</v>
      </c>
      <c r="C72" s="67" t="s">
        <v>2139</v>
      </c>
      <c r="D72" s="68">
        <v>3</v>
      </c>
      <c r="E72" s="69" t="s">
        <v>132</v>
      </c>
      <c r="F72" s="70">
        <v>32</v>
      </c>
      <c r="G72" s="67"/>
      <c r="H72" s="71"/>
      <c r="I72" s="72"/>
      <c r="J72" s="72"/>
      <c r="K72" s="35" t="s">
        <v>65</v>
      </c>
      <c r="L72" s="80">
        <v>72</v>
      </c>
      <c r="M72" s="80"/>
      <c r="N72" s="74"/>
      <c r="O72" s="82" t="s">
        <v>211</v>
      </c>
      <c r="P72" s="84">
        <v>44725.76565972222</v>
      </c>
      <c r="Q72" s="82" t="s">
        <v>349</v>
      </c>
      <c r="R72" s="85" t="str">
        <f>HYPERLINK("https://www.rooftopartscentre.co.uk/whats-on/")</f>
        <v>https://www.rooftopartscentre.co.uk/whats-on/</v>
      </c>
      <c r="S72" s="82" t="s">
        <v>521</v>
      </c>
      <c r="T72" s="82"/>
      <c r="U72" s="85" t="str">
        <f>HYPERLINK("https://pbs.twimg.com/media/FVJv5sPX0AIt1Pt.png")</f>
        <v>https://pbs.twimg.com/media/FVJv5sPX0AIt1Pt.png</v>
      </c>
      <c r="V72" s="85" t="str">
        <f>HYPERLINK("https://pbs.twimg.com/media/FVJv5sPX0AIt1Pt.png")</f>
        <v>https://pbs.twimg.com/media/FVJv5sPX0AIt1Pt.png</v>
      </c>
      <c r="W72" s="84">
        <v>44725.76565972222</v>
      </c>
      <c r="X72" s="89">
        <v>44725</v>
      </c>
      <c r="Y72" s="87" t="s">
        <v>573</v>
      </c>
      <c r="Z72" s="85" t="str">
        <f>HYPERLINK("https://twitter.com/realdavidcarter/status/1536413732720582657")</f>
        <v>https://twitter.com/realdavidcarter/status/1536413732720582657</v>
      </c>
      <c r="AA72" s="82"/>
      <c r="AB72" s="82"/>
      <c r="AC72" s="87" t="s">
        <v>762</v>
      </c>
      <c r="AD72" s="82"/>
      <c r="AE72" s="82" t="b">
        <v>0</v>
      </c>
      <c r="AF72" s="82">
        <v>1</v>
      </c>
      <c r="AG72" s="87" t="s">
        <v>957</v>
      </c>
      <c r="AH72" s="82" t="b">
        <v>0</v>
      </c>
      <c r="AI72" s="82" t="s">
        <v>973</v>
      </c>
      <c r="AJ72" s="82"/>
      <c r="AK72" s="87" t="s">
        <v>957</v>
      </c>
      <c r="AL72" s="82" t="b">
        <v>0</v>
      </c>
      <c r="AM72" s="82">
        <v>0</v>
      </c>
      <c r="AN72" s="87" t="s">
        <v>957</v>
      </c>
      <c r="AO72" s="87" t="s">
        <v>978</v>
      </c>
      <c r="AP72" s="82" t="b">
        <v>0</v>
      </c>
      <c r="AQ72" s="87" t="s">
        <v>762</v>
      </c>
      <c r="AR72" s="82" t="s">
        <v>211</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6" t="s">
        <v>279</v>
      </c>
      <c r="B73" s="66" t="s">
        <v>279</v>
      </c>
      <c r="C73" s="67" t="s">
        <v>2139</v>
      </c>
      <c r="D73" s="68">
        <v>3</v>
      </c>
      <c r="E73" s="69" t="s">
        <v>132</v>
      </c>
      <c r="F73" s="70">
        <v>32</v>
      </c>
      <c r="G73" s="67"/>
      <c r="H73" s="71"/>
      <c r="I73" s="72"/>
      <c r="J73" s="72"/>
      <c r="K73" s="35" t="s">
        <v>65</v>
      </c>
      <c r="L73" s="80">
        <v>73</v>
      </c>
      <c r="M73" s="80"/>
      <c r="N73" s="74"/>
      <c r="O73" s="82" t="s">
        <v>211</v>
      </c>
      <c r="P73" s="84">
        <v>44726.69122685185</v>
      </c>
      <c r="Q73" s="82" t="s">
        <v>350</v>
      </c>
      <c r="R73" s="82"/>
      <c r="S73" s="82"/>
      <c r="T73" s="87" t="s">
        <v>537</v>
      </c>
      <c r="U73" s="85" t="str">
        <f>HYPERLINK("https://pbs.twimg.com/media/FVOhM6CUUAERQq1.jpg")</f>
        <v>https://pbs.twimg.com/media/FVOhM6CUUAERQq1.jpg</v>
      </c>
      <c r="V73" s="85" t="str">
        <f>HYPERLINK("https://pbs.twimg.com/media/FVOhM6CUUAERQq1.jpg")</f>
        <v>https://pbs.twimg.com/media/FVOhM6CUUAERQq1.jpg</v>
      </c>
      <c r="W73" s="84">
        <v>44726.69122685185</v>
      </c>
      <c r="X73" s="89">
        <v>44726</v>
      </c>
      <c r="Y73" s="87" t="s">
        <v>574</v>
      </c>
      <c r="Z73" s="85" t="str">
        <f>HYPERLINK("https://twitter.com/dritsumotanoshi/status/1536749144508751872")</f>
        <v>https://twitter.com/dritsumotanoshi/status/1536749144508751872</v>
      </c>
      <c r="AA73" s="82"/>
      <c r="AB73" s="82"/>
      <c r="AC73" s="87" t="s">
        <v>763</v>
      </c>
      <c r="AD73" s="82"/>
      <c r="AE73" s="82" t="b">
        <v>0</v>
      </c>
      <c r="AF73" s="82">
        <v>0</v>
      </c>
      <c r="AG73" s="87" t="s">
        <v>957</v>
      </c>
      <c r="AH73" s="82" t="b">
        <v>0</v>
      </c>
      <c r="AI73" s="82" t="s">
        <v>973</v>
      </c>
      <c r="AJ73" s="82"/>
      <c r="AK73" s="87" t="s">
        <v>957</v>
      </c>
      <c r="AL73" s="82" t="b">
        <v>0</v>
      </c>
      <c r="AM73" s="82">
        <v>0</v>
      </c>
      <c r="AN73" s="87" t="s">
        <v>957</v>
      </c>
      <c r="AO73" s="87" t="s">
        <v>979</v>
      </c>
      <c r="AP73" s="82" t="b">
        <v>0</v>
      </c>
      <c r="AQ73" s="87" t="s">
        <v>763</v>
      </c>
      <c r="AR73" s="82" t="s">
        <v>211</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36</v>
      </c>
      <c r="BM73" s="50">
        <v>100</v>
      </c>
      <c r="BN73" s="49">
        <v>36</v>
      </c>
    </row>
    <row r="74" spans="1:66" ht="15">
      <c r="A74" s="66" t="s">
        <v>280</v>
      </c>
      <c r="B74" s="66" t="s">
        <v>310</v>
      </c>
      <c r="C74" s="67" t="s">
        <v>2139</v>
      </c>
      <c r="D74" s="68">
        <v>3</v>
      </c>
      <c r="E74" s="69" t="s">
        <v>136</v>
      </c>
      <c r="F74" s="70">
        <v>31.81560283687943</v>
      </c>
      <c r="G74" s="67"/>
      <c r="H74" s="71"/>
      <c r="I74" s="72"/>
      <c r="J74" s="72"/>
      <c r="K74" s="35" t="s">
        <v>65</v>
      </c>
      <c r="L74" s="80">
        <v>74</v>
      </c>
      <c r="M74" s="80"/>
      <c r="N74" s="74"/>
      <c r="O74" s="82" t="s">
        <v>332</v>
      </c>
      <c r="P74" s="84">
        <v>44726.940150462964</v>
      </c>
      <c r="Q74" s="82" t="s">
        <v>351</v>
      </c>
      <c r="R74" s="82"/>
      <c r="S74" s="82"/>
      <c r="T74" s="82"/>
      <c r="U74" s="82"/>
      <c r="V74" s="85" t="str">
        <f>HYPERLINK("https://pbs.twimg.com/profile_images/1525568713440862208/GShUchll_normal.jpg")</f>
        <v>https://pbs.twimg.com/profile_images/1525568713440862208/GShUchll_normal.jpg</v>
      </c>
      <c r="W74" s="84">
        <v>44726.940150462964</v>
      </c>
      <c r="X74" s="89">
        <v>44726</v>
      </c>
      <c r="Y74" s="87" t="s">
        <v>575</v>
      </c>
      <c r="Z74" s="85" t="str">
        <f>HYPERLINK("https://twitter.com/michaeldaly64/status/1536839354378854400")</f>
        <v>https://twitter.com/michaeldaly64/status/1536839354378854400</v>
      </c>
      <c r="AA74" s="82"/>
      <c r="AB74" s="82"/>
      <c r="AC74" s="87" t="s">
        <v>764</v>
      </c>
      <c r="AD74" s="87" t="s">
        <v>941</v>
      </c>
      <c r="AE74" s="82" t="b">
        <v>0</v>
      </c>
      <c r="AF74" s="82">
        <v>2</v>
      </c>
      <c r="AG74" s="87" t="s">
        <v>962</v>
      </c>
      <c r="AH74" s="82" t="b">
        <v>0</v>
      </c>
      <c r="AI74" s="82" t="s">
        <v>973</v>
      </c>
      <c r="AJ74" s="82"/>
      <c r="AK74" s="87" t="s">
        <v>957</v>
      </c>
      <c r="AL74" s="82" t="b">
        <v>0</v>
      </c>
      <c r="AM74" s="82">
        <v>0</v>
      </c>
      <c r="AN74" s="87" t="s">
        <v>957</v>
      </c>
      <c r="AO74" s="87" t="s">
        <v>978</v>
      </c>
      <c r="AP74" s="82" t="b">
        <v>0</v>
      </c>
      <c r="AQ74" s="87" t="s">
        <v>941</v>
      </c>
      <c r="AR74" s="82" t="s">
        <v>211</v>
      </c>
      <c r="AS74" s="82">
        <v>0</v>
      </c>
      <c r="AT74" s="82">
        <v>0</v>
      </c>
      <c r="AU74" s="82"/>
      <c r="AV74" s="82"/>
      <c r="AW74" s="82"/>
      <c r="AX74" s="82"/>
      <c r="AY74" s="82"/>
      <c r="AZ74" s="82"/>
      <c r="BA74" s="82"/>
      <c r="BB74" s="82"/>
      <c r="BC74">
        <v>2</v>
      </c>
      <c r="BD74" s="81" t="str">
        <f>REPLACE(INDEX(GroupVertices[Group],MATCH(Edges[[#This Row],[Vertex 1]],GroupVertices[Vertex],0)),1,1,"")</f>
        <v>8</v>
      </c>
      <c r="BE74" s="81" t="str">
        <f>REPLACE(INDEX(GroupVertices[Group],MATCH(Edges[[#This Row],[Vertex 2]],GroupVertices[Vertex],0)),1,1,"")</f>
        <v>8</v>
      </c>
      <c r="BF74" s="49">
        <v>2</v>
      </c>
      <c r="BG74" s="50">
        <v>4.545454545454546</v>
      </c>
      <c r="BH74" s="49">
        <v>0</v>
      </c>
      <c r="BI74" s="50">
        <v>0</v>
      </c>
      <c r="BJ74" s="49">
        <v>0</v>
      </c>
      <c r="BK74" s="50">
        <v>0</v>
      </c>
      <c r="BL74" s="49">
        <v>42</v>
      </c>
      <c r="BM74" s="50">
        <v>95.45454545454545</v>
      </c>
      <c r="BN74" s="49">
        <v>44</v>
      </c>
    </row>
    <row r="75" spans="1:66" ht="15">
      <c r="A75" s="66" t="s">
        <v>280</v>
      </c>
      <c r="B75" s="66" t="s">
        <v>310</v>
      </c>
      <c r="C75" s="67" t="s">
        <v>2139</v>
      </c>
      <c r="D75" s="68">
        <v>3</v>
      </c>
      <c r="E75" s="69" t="s">
        <v>136</v>
      </c>
      <c r="F75" s="70">
        <v>31.81560283687943</v>
      </c>
      <c r="G75" s="67"/>
      <c r="H75" s="71"/>
      <c r="I75" s="72"/>
      <c r="J75" s="72"/>
      <c r="K75" s="35" t="s">
        <v>65</v>
      </c>
      <c r="L75" s="80">
        <v>75</v>
      </c>
      <c r="M75" s="80"/>
      <c r="N75" s="74"/>
      <c r="O75" s="82" t="s">
        <v>332</v>
      </c>
      <c r="P75" s="84">
        <v>44726.94236111111</v>
      </c>
      <c r="Q75" s="82" t="s">
        <v>352</v>
      </c>
      <c r="R75" s="82"/>
      <c r="S75" s="82"/>
      <c r="T75" s="82"/>
      <c r="U75" s="82"/>
      <c r="V75" s="85" t="str">
        <f>HYPERLINK("https://pbs.twimg.com/profile_images/1525568713440862208/GShUchll_normal.jpg")</f>
        <v>https://pbs.twimg.com/profile_images/1525568713440862208/GShUchll_normal.jpg</v>
      </c>
      <c r="W75" s="84">
        <v>44726.94236111111</v>
      </c>
      <c r="X75" s="89">
        <v>44726</v>
      </c>
      <c r="Y75" s="87" t="s">
        <v>576</v>
      </c>
      <c r="Z75" s="85" t="str">
        <f>HYPERLINK("https://twitter.com/michaeldaly64/status/1536840152626171905")</f>
        <v>https://twitter.com/michaeldaly64/status/1536840152626171905</v>
      </c>
      <c r="AA75" s="82"/>
      <c r="AB75" s="82"/>
      <c r="AC75" s="87" t="s">
        <v>765</v>
      </c>
      <c r="AD75" s="87" t="s">
        <v>942</v>
      </c>
      <c r="AE75" s="82" t="b">
        <v>0</v>
      </c>
      <c r="AF75" s="82">
        <v>1</v>
      </c>
      <c r="AG75" s="87" t="s">
        <v>962</v>
      </c>
      <c r="AH75" s="82" t="b">
        <v>0</v>
      </c>
      <c r="AI75" s="82" t="s">
        <v>973</v>
      </c>
      <c r="AJ75" s="82"/>
      <c r="AK75" s="87" t="s">
        <v>957</v>
      </c>
      <c r="AL75" s="82" t="b">
        <v>0</v>
      </c>
      <c r="AM75" s="82">
        <v>0</v>
      </c>
      <c r="AN75" s="87" t="s">
        <v>957</v>
      </c>
      <c r="AO75" s="87" t="s">
        <v>978</v>
      </c>
      <c r="AP75" s="82" t="b">
        <v>0</v>
      </c>
      <c r="AQ75" s="87" t="s">
        <v>942</v>
      </c>
      <c r="AR75" s="82" t="s">
        <v>211</v>
      </c>
      <c r="AS75" s="82">
        <v>0</v>
      </c>
      <c r="AT75" s="82">
        <v>0</v>
      </c>
      <c r="AU75" s="82"/>
      <c r="AV75" s="82"/>
      <c r="AW75" s="82"/>
      <c r="AX75" s="82"/>
      <c r="AY75" s="82"/>
      <c r="AZ75" s="82"/>
      <c r="BA75" s="82"/>
      <c r="BB75" s="82"/>
      <c r="BC75">
        <v>2</v>
      </c>
      <c r="BD75" s="81" t="str">
        <f>REPLACE(INDEX(GroupVertices[Group],MATCH(Edges[[#This Row],[Vertex 1]],GroupVertices[Vertex],0)),1,1,"")</f>
        <v>8</v>
      </c>
      <c r="BE75" s="81" t="str">
        <f>REPLACE(INDEX(GroupVertices[Group],MATCH(Edges[[#This Row],[Vertex 2]],GroupVertices[Vertex],0)),1,1,"")</f>
        <v>8</v>
      </c>
      <c r="BF75" s="49">
        <v>0</v>
      </c>
      <c r="BG75" s="50">
        <v>0</v>
      </c>
      <c r="BH75" s="49">
        <v>0</v>
      </c>
      <c r="BI75" s="50">
        <v>0</v>
      </c>
      <c r="BJ75" s="49">
        <v>0</v>
      </c>
      <c r="BK75" s="50">
        <v>0</v>
      </c>
      <c r="BL75" s="49">
        <v>26</v>
      </c>
      <c r="BM75" s="50">
        <v>100</v>
      </c>
      <c r="BN75" s="49">
        <v>26</v>
      </c>
    </row>
    <row r="76" spans="1:66" ht="15">
      <c r="A76" s="66" t="s">
        <v>281</v>
      </c>
      <c r="B76" s="66" t="s">
        <v>311</v>
      </c>
      <c r="C76" s="67" t="s">
        <v>2139</v>
      </c>
      <c r="D76" s="68">
        <v>3</v>
      </c>
      <c r="E76" s="69" t="s">
        <v>132</v>
      </c>
      <c r="F76" s="70">
        <v>32</v>
      </c>
      <c r="G76" s="67"/>
      <c r="H76" s="71"/>
      <c r="I76" s="72"/>
      <c r="J76" s="72"/>
      <c r="K76" s="35" t="s">
        <v>65</v>
      </c>
      <c r="L76" s="80">
        <v>76</v>
      </c>
      <c r="M76" s="80"/>
      <c r="N76" s="74"/>
      <c r="O76" s="82" t="s">
        <v>331</v>
      </c>
      <c r="P76" s="84">
        <v>44727.48025462963</v>
      </c>
      <c r="Q76" s="82" t="s">
        <v>353</v>
      </c>
      <c r="R76" s="82"/>
      <c r="S76" s="82"/>
      <c r="T76" s="82"/>
      <c r="U76" s="82"/>
      <c r="V76" s="85" t="str">
        <f>HYPERLINK("https://pbs.twimg.com/profile_images/832526460489449472/uqWs_iLi_normal.jpg")</f>
        <v>https://pbs.twimg.com/profile_images/832526460489449472/uqWs_iLi_normal.jpg</v>
      </c>
      <c r="W76" s="84">
        <v>44727.48025462963</v>
      </c>
      <c r="X76" s="89">
        <v>44727</v>
      </c>
      <c r="Y76" s="87" t="s">
        <v>577</v>
      </c>
      <c r="Z76" s="85" t="str">
        <f>HYPERLINK("https://twitter.com/caroline_binnie/status/1537035080509562880")</f>
        <v>https://twitter.com/caroline_binnie/status/1537035080509562880</v>
      </c>
      <c r="AA76" s="82"/>
      <c r="AB76" s="82"/>
      <c r="AC76" s="87" t="s">
        <v>766</v>
      </c>
      <c r="AD76" s="87" t="s">
        <v>943</v>
      </c>
      <c r="AE76" s="82" t="b">
        <v>0</v>
      </c>
      <c r="AF76" s="82">
        <v>2</v>
      </c>
      <c r="AG76" s="87" t="s">
        <v>962</v>
      </c>
      <c r="AH76" s="82" t="b">
        <v>0</v>
      </c>
      <c r="AI76" s="82" t="s">
        <v>973</v>
      </c>
      <c r="AJ76" s="82"/>
      <c r="AK76" s="87" t="s">
        <v>957</v>
      </c>
      <c r="AL76" s="82" t="b">
        <v>0</v>
      </c>
      <c r="AM76" s="82">
        <v>0</v>
      </c>
      <c r="AN76" s="87" t="s">
        <v>957</v>
      </c>
      <c r="AO76" s="87" t="s">
        <v>977</v>
      </c>
      <c r="AP76" s="82" t="b">
        <v>0</v>
      </c>
      <c r="AQ76" s="87" t="s">
        <v>943</v>
      </c>
      <c r="AR76" s="82" t="s">
        <v>211</v>
      </c>
      <c r="AS76" s="82">
        <v>0</v>
      </c>
      <c r="AT76" s="82">
        <v>0</v>
      </c>
      <c r="AU76" s="82"/>
      <c r="AV76" s="82"/>
      <c r="AW76" s="82"/>
      <c r="AX76" s="82"/>
      <c r="AY76" s="82"/>
      <c r="AZ76" s="82"/>
      <c r="BA76" s="82"/>
      <c r="BB76" s="82"/>
      <c r="BC76">
        <v>1</v>
      </c>
      <c r="BD76" s="81" t="str">
        <f>REPLACE(INDEX(GroupVertices[Group],MATCH(Edges[[#This Row],[Vertex 1]],GroupVertices[Vertex],0)),1,1,"")</f>
        <v>8</v>
      </c>
      <c r="BE76" s="81" t="str">
        <f>REPLACE(INDEX(GroupVertices[Group],MATCH(Edges[[#This Row],[Vertex 2]],GroupVertices[Vertex],0)),1,1,"")</f>
        <v>8</v>
      </c>
      <c r="BF76" s="49">
        <v>0</v>
      </c>
      <c r="BG76" s="50">
        <v>0</v>
      </c>
      <c r="BH76" s="49">
        <v>1</v>
      </c>
      <c r="BI76" s="50">
        <v>11.11111111111111</v>
      </c>
      <c r="BJ76" s="49">
        <v>0</v>
      </c>
      <c r="BK76" s="50">
        <v>0</v>
      </c>
      <c r="BL76" s="49">
        <v>8</v>
      </c>
      <c r="BM76" s="50">
        <v>88.88888888888889</v>
      </c>
      <c r="BN76" s="49">
        <v>9</v>
      </c>
    </row>
    <row r="77" spans="1:66" ht="15">
      <c r="A77" s="66" t="s">
        <v>281</v>
      </c>
      <c r="B77" s="66" t="s">
        <v>310</v>
      </c>
      <c r="C77" s="67" t="s">
        <v>2139</v>
      </c>
      <c r="D77" s="68">
        <v>3</v>
      </c>
      <c r="E77" s="69" t="s">
        <v>136</v>
      </c>
      <c r="F77" s="70">
        <v>31.631205673758867</v>
      </c>
      <c r="G77" s="67"/>
      <c r="H77" s="71"/>
      <c r="I77" s="72"/>
      <c r="J77" s="72"/>
      <c r="K77" s="35" t="s">
        <v>65</v>
      </c>
      <c r="L77" s="80">
        <v>77</v>
      </c>
      <c r="M77" s="80"/>
      <c r="N77" s="74"/>
      <c r="O77" s="82" t="s">
        <v>332</v>
      </c>
      <c r="P77" s="84">
        <v>44726.937789351854</v>
      </c>
      <c r="Q77" s="82" t="s">
        <v>354</v>
      </c>
      <c r="R77" s="82"/>
      <c r="S77" s="82"/>
      <c r="T77" s="82"/>
      <c r="U77" s="82"/>
      <c r="V77" s="85" t="str">
        <f>HYPERLINK("https://pbs.twimg.com/profile_images/832526460489449472/uqWs_iLi_normal.jpg")</f>
        <v>https://pbs.twimg.com/profile_images/832526460489449472/uqWs_iLi_normal.jpg</v>
      </c>
      <c r="W77" s="84">
        <v>44726.937789351854</v>
      </c>
      <c r="X77" s="89">
        <v>44726</v>
      </c>
      <c r="Y77" s="87" t="s">
        <v>578</v>
      </c>
      <c r="Z77" s="85" t="str">
        <f>HYPERLINK("https://twitter.com/caroline_binnie/status/1536838495335026688")</f>
        <v>https://twitter.com/caroline_binnie/status/1536838495335026688</v>
      </c>
      <c r="AA77" s="82"/>
      <c r="AB77" s="82"/>
      <c r="AC77" s="87" t="s">
        <v>767</v>
      </c>
      <c r="AD77" s="87" t="s">
        <v>941</v>
      </c>
      <c r="AE77" s="82" t="b">
        <v>0</v>
      </c>
      <c r="AF77" s="82">
        <v>5</v>
      </c>
      <c r="AG77" s="87" t="s">
        <v>962</v>
      </c>
      <c r="AH77" s="82" t="b">
        <v>0</v>
      </c>
      <c r="AI77" s="82" t="s">
        <v>973</v>
      </c>
      <c r="AJ77" s="82"/>
      <c r="AK77" s="87" t="s">
        <v>957</v>
      </c>
      <c r="AL77" s="82" t="b">
        <v>0</v>
      </c>
      <c r="AM77" s="82">
        <v>0</v>
      </c>
      <c r="AN77" s="87" t="s">
        <v>957</v>
      </c>
      <c r="AO77" s="87" t="s">
        <v>977</v>
      </c>
      <c r="AP77" s="82" t="b">
        <v>0</v>
      </c>
      <c r="AQ77" s="87" t="s">
        <v>941</v>
      </c>
      <c r="AR77" s="82" t="s">
        <v>211</v>
      </c>
      <c r="AS77" s="82">
        <v>0</v>
      </c>
      <c r="AT77" s="82">
        <v>0</v>
      </c>
      <c r="AU77" s="82"/>
      <c r="AV77" s="82"/>
      <c r="AW77" s="82"/>
      <c r="AX77" s="82"/>
      <c r="AY77" s="82"/>
      <c r="AZ77" s="82"/>
      <c r="BA77" s="82"/>
      <c r="BB77" s="82"/>
      <c r="BC77">
        <v>3</v>
      </c>
      <c r="BD77" s="81" t="str">
        <f>REPLACE(INDEX(GroupVertices[Group],MATCH(Edges[[#This Row],[Vertex 1]],GroupVertices[Vertex],0)),1,1,"")</f>
        <v>8</v>
      </c>
      <c r="BE77" s="81" t="str">
        <f>REPLACE(INDEX(GroupVertices[Group],MATCH(Edges[[#This Row],[Vertex 2]],GroupVertices[Vertex],0)),1,1,"")</f>
        <v>8</v>
      </c>
      <c r="BF77" s="49">
        <v>5</v>
      </c>
      <c r="BG77" s="50">
        <v>15.625</v>
      </c>
      <c r="BH77" s="49">
        <v>1</v>
      </c>
      <c r="BI77" s="50">
        <v>3.125</v>
      </c>
      <c r="BJ77" s="49">
        <v>0</v>
      </c>
      <c r="BK77" s="50">
        <v>0</v>
      </c>
      <c r="BL77" s="49">
        <v>26</v>
      </c>
      <c r="BM77" s="50">
        <v>81.25</v>
      </c>
      <c r="BN77" s="49">
        <v>32</v>
      </c>
    </row>
    <row r="78" spans="1:66" ht="15">
      <c r="A78" s="66" t="s">
        <v>281</v>
      </c>
      <c r="B78" s="66" t="s">
        <v>310</v>
      </c>
      <c r="C78" s="67" t="s">
        <v>2139</v>
      </c>
      <c r="D78" s="68">
        <v>3</v>
      </c>
      <c r="E78" s="69" t="s">
        <v>136</v>
      </c>
      <c r="F78" s="70">
        <v>31.631205673758867</v>
      </c>
      <c r="G78" s="67"/>
      <c r="H78" s="71"/>
      <c r="I78" s="72"/>
      <c r="J78" s="72"/>
      <c r="K78" s="35" t="s">
        <v>65</v>
      </c>
      <c r="L78" s="80">
        <v>78</v>
      </c>
      <c r="M78" s="80"/>
      <c r="N78" s="74"/>
      <c r="O78" s="82" t="s">
        <v>332</v>
      </c>
      <c r="P78" s="84">
        <v>44726.94341435185</v>
      </c>
      <c r="Q78" s="82" t="s">
        <v>355</v>
      </c>
      <c r="R78" s="82"/>
      <c r="S78" s="82"/>
      <c r="T78" s="82"/>
      <c r="U78" s="82"/>
      <c r="V78" s="85" t="str">
        <f>HYPERLINK("https://pbs.twimg.com/profile_images/832526460489449472/uqWs_iLi_normal.jpg")</f>
        <v>https://pbs.twimg.com/profile_images/832526460489449472/uqWs_iLi_normal.jpg</v>
      </c>
      <c r="W78" s="84">
        <v>44726.94341435185</v>
      </c>
      <c r="X78" s="89">
        <v>44726</v>
      </c>
      <c r="Y78" s="87" t="s">
        <v>579</v>
      </c>
      <c r="Z78" s="85" t="str">
        <f>HYPERLINK("https://twitter.com/caroline_binnie/status/1536840537227108352")</f>
        <v>https://twitter.com/caroline_binnie/status/1536840537227108352</v>
      </c>
      <c r="AA78" s="82"/>
      <c r="AB78" s="82"/>
      <c r="AC78" s="87" t="s">
        <v>768</v>
      </c>
      <c r="AD78" s="87" t="s">
        <v>944</v>
      </c>
      <c r="AE78" s="82" t="b">
        <v>0</v>
      </c>
      <c r="AF78" s="82">
        <v>2</v>
      </c>
      <c r="AG78" s="87" t="s">
        <v>962</v>
      </c>
      <c r="AH78" s="82" t="b">
        <v>0</v>
      </c>
      <c r="AI78" s="82" t="s">
        <v>973</v>
      </c>
      <c r="AJ78" s="82"/>
      <c r="AK78" s="87" t="s">
        <v>957</v>
      </c>
      <c r="AL78" s="82" t="b">
        <v>0</v>
      </c>
      <c r="AM78" s="82">
        <v>0</v>
      </c>
      <c r="AN78" s="87" t="s">
        <v>957</v>
      </c>
      <c r="AO78" s="87" t="s">
        <v>977</v>
      </c>
      <c r="AP78" s="82" t="b">
        <v>0</v>
      </c>
      <c r="AQ78" s="87" t="s">
        <v>944</v>
      </c>
      <c r="AR78" s="82" t="s">
        <v>211</v>
      </c>
      <c r="AS78" s="82">
        <v>0</v>
      </c>
      <c r="AT78" s="82">
        <v>0</v>
      </c>
      <c r="AU78" s="82"/>
      <c r="AV78" s="82"/>
      <c r="AW78" s="82"/>
      <c r="AX78" s="82"/>
      <c r="AY78" s="82"/>
      <c r="AZ78" s="82"/>
      <c r="BA78" s="82"/>
      <c r="BB78" s="82"/>
      <c r="BC78">
        <v>3</v>
      </c>
      <c r="BD78" s="81" t="str">
        <f>REPLACE(INDEX(GroupVertices[Group],MATCH(Edges[[#This Row],[Vertex 1]],GroupVertices[Vertex],0)),1,1,"")</f>
        <v>8</v>
      </c>
      <c r="BE78" s="81" t="str">
        <f>REPLACE(INDEX(GroupVertices[Group],MATCH(Edges[[#This Row],[Vertex 2]],GroupVertices[Vertex],0)),1,1,"")</f>
        <v>8</v>
      </c>
      <c r="BF78" s="49">
        <v>1</v>
      </c>
      <c r="BG78" s="50">
        <v>5</v>
      </c>
      <c r="BH78" s="49">
        <v>0</v>
      </c>
      <c r="BI78" s="50">
        <v>0</v>
      </c>
      <c r="BJ78" s="49">
        <v>0</v>
      </c>
      <c r="BK78" s="50">
        <v>0</v>
      </c>
      <c r="BL78" s="49">
        <v>19</v>
      </c>
      <c r="BM78" s="50">
        <v>95</v>
      </c>
      <c r="BN78" s="49">
        <v>20</v>
      </c>
    </row>
    <row r="79" spans="1:66" ht="15">
      <c r="A79" s="66" t="s">
        <v>281</v>
      </c>
      <c r="B79" s="66" t="s">
        <v>310</v>
      </c>
      <c r="C79" s="67" t="s">
        <v>2139</v>
      </c>
      <c r="D79" s="68">
        <v>3</v>
      </c>
      <c r="E79" s="69" t="s">
        <v>136</v>
      </c>
      <c r="F79" s="70">
        <v>31.631205673758867</v>
      </c>
      <c r="G79" s="67"/>
      <c r="H79" s="71"/>
      <c r="I79" s="72"/>
      <c r="J79" s="72"/>
      <c r="K79" s="35" t="s">
        <v>65</v>
      </c>
      <c r="L79" s="80">
        <v>79</v>
      </c>
      <c r="M79" s="80"/>
      <c r="N79" s="74"/>
      <c r="O79" s="82" t="s">
        <v>332</v>
      </c>
      <c r="P79" s="84">
        <v>44727.48025462963</v>
      </c>
      <c r="Q79" s="82" t="s">
        <v>353</v>
      </c>
      <c r="R79" s="82"/>
      <c r="S79" s="82"/>
      <c r="T79" s="82"/>
      <c r="U79" s="82"/>
      <c r="V79" s="85" t="str">
        <f>HYPERLINK("https://pbs.twimg.com/profile_images/832526460489449472/uqWs_iLi_normal.jpg")</f>
        <v>https://pbs.twimg.com/profile_images/832526460489449472/uqWs_iLi_normal.jpg</v>
      </c>
      <c r="W79" s="84">
        <v>44727.48025462963</v>
      </c>
      <c r="X79" s="89">
        <v>44727</v>
      </c>
      <c r="Y79" s="87" t="s">
        <v>577</v>
      </c>
      <c r="Z79" s="85" t="str">
        <f>HYPERLINK("https://twitter.com/caroline_binnie/status/1537035080509562880")</f>
        <v>https://twitter.com/caroline_binnie/status/1537035080509562880</v>
      </c>
      <c r="AA79" s="82"/>
      <c r="AB79" s="82"/>
      <c r="AC79" s="87" t="s">
        <v>766</v>
      </c>
      <c r="AD79" s="87" t="s">
        <v>943</v>
      </c>
      <c r="AE79" s="82" t="b">
        <v>0</v>
      </c>
      <c r="AF79" s="82">
        <v>2</v>
      </c>
      <c r="AG79" s="87" t="s">
        <v>962</v>
      </c>
      <c r="AH79" s="82" t="b">
        <v>0</v>
      </c>
      <c r="AI79" s="82" t="s">
        <v>973</v>
      </c>
      <c r="AJ79" s="82"/>
      <c r="AK79" s="87" t="s">
        <v>957</v>
      </c>
      <c r="AL79" s="82" t="b">
        <v>0</v>
      </c>
      <c r="AM79" s="82">
        <v>0</v>
      </c>
      <c r="AN79" s="87" t="s">
        <v>957</v>
      </c>
      <c r="AO79" s="87" t="s">
        <v>977</v>
      </c>
      <c r="AP79" s="82" t="b">
        <v>0</v>
      </c>
      <c r="AQ79" s="87" t="s">
        <v>943</v>
      </c>
      <c r="AR79" s="82" t="s">
        <v>211</v>
      </c>
      <c r="AS79" s="82">
        <v>0</v>
      </c>
      <c r="AT79" s="82">
        <v>0</v>
      </c>
      <c r="AU79" s="82"/>
      <c r="AV79" s="82"/>
      <c r="AW79" s="82"/>
      <c r="AX79" s="82"/>
      <c r="AY79" s="82"/>
      <c r="AZ79" s="82"/>
      <c r="BA79" s="82"/>
      <c r="BB79" s="82"/>
      <c r="BC79">
        <v>3</v>
      </c>
      <c r="BD79" s="81" t="str">
        <f>REPLACE(INDEX(GroupVertices[Group],MATCH(Edges[[#This Row],[Vertex 1]],GroupVertices[Vertex],0)),1,1,"")</f>
        <v>8</v>
      </c>
      <c r="BE79" s="81" t="str">
        <f>REPLACE(INDEX(GroupVertices[Group],MATCH(Edges[[#This Row],[Vertex 2]],GroupVertices[Vertex],0)),1,1,"")</f>
        <v>8</v>
      </c>
      <c r="BF79" s="49"/>
      <c r="BG79" s="50"/>
      <c r="BH79" s="49"/>
      <c r="BI79" s="50"/>
      <c r="BJ79" s="49"/>
      <c r="BK79" s="50"/>
      <c r="BL79" s="49"/>
      <c r="BM79" s="50"/>
      <c r="BN79" s="49"/>
    </row>
    <row r="80" spans="1:66" ht="15">
      <c r="A80" s="66" t="s">
        <v>282</v>
      </c>
      <c r="B80" s="66" t="s">
        <v>282</v>
      </c>
      <c r="C80" s="67" t="s">
        <v>2139</v>
      </c>
      <c r="D80" s="68">
        <v>3</v>
      </c>
      <c r="E80" s="69" t="s">
        <v>132</v>
      </c>
      <c r="F80" s="70">
        <v>32</v>
      </c>
      <c r="G80" s="67"/>
      <c r="H80" s="71"/>
      <c r="I80" s="72"/>
      <c r="J80" s="72"/>
      <c r="K80" s="35" t="s">
        <v>65</v>
      </c>
      <c r="L80" s="80">
        <v>80</v>
      </c>
      <c r="M80" s="80"/>
      <c r="N80" s="74"/>
      <c r="O80" s="82" t="s">
        <v>211</v>
      </c>
      <c r="P80" s="84">
        <v>44728.17061342593</v>
      </c>
      <c r="Q80" s="82" t="s">
        <v>356</v>
      </c>
      <c r="R80" s="82"/>
      <c r="S80" s="82"/>
      <c r="T80" s="82"/>
      <c r="U80" s="82"/>
      <c r="V80" s="85" t="str">
        <f>HYPERLINK("https://pbs.twimg.com/profile_images/1476072327360442368/SaCDg2fX_normal.jpg")</f>
        <v>https://pbs.twimg.com/profile_images/1476072327360442368/SaCDg2fX_normal.jpg</v>
      </c>
      <c r="W80" s="84">
        <v>44728.17061342593</v>
      </c>
      <c r="X80" s="89">
        <v>44728</v>
      </c>
      <c r="Y80" s="87" t="s">
        <v>580</v>
      </c>
      <c r="Z80" s="85" t="str">
        <f>HYPERLINK("https://twitter.com/tom40591965/status/1537285258126987264")</f>
        <v>https://twitter.com/tom40591965/status/1537285258126987264</v>
      </c>
      <c r="AA80" s="82"/>
      <c r="AB80" s="82"/>
      <c r="AC80" s="87" t="s">
        <v>769</v>
      </c>
      <c r="AD80" s="82"/>
      <c r="AE80" s="82" t="b">
        <v>0</v>
      </c>
      <c r="AF80" s="82">
        <v>0</v>
      </c>
      <c r="AG80" s="87" t="s">
        <v>957</v>
      </c>
      <c r="AH80" s="82" t="b">
        <v>0</v>
      </c>
      <c r="AI80" s="82" t="s">
        <v>973</v>
      </c>
      <c r="AJ80" s="82"/>
      <c r="AK80" s="87" t="s">
        <v>957</v>
      </c>
      <c r="AL80" s="82" t="b">
        <v>0</v>
      </c>
      <c r="AM80" s="82">
        <v>0</v>
      </c>
      <c r="AN80" s="87" t="s">
        <v>957</v>
      </c>
      <c r="AO80" s="87" t="s">
        <v>978</v>
      </c>
      <c r="AP80" s="82" t="b">
        <v>0</v>
      </c>
      <c r="AQ80" s="87" t="s">
        <v>769</v>
      </c>
      <c r="AR80" s="82" t="s">
        <v>211</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1</v>
      </c>
      <c r="BG80" s="50">
        <v>3.225806451612903</v>
      </c>
      <c r="BH80" s="49">
        <v>0</v>
      </c>
      <c r="BI80" s="50">
        <v>0</v>
      </c>
      <c r="BJ80" s="49">
        <v>0</v>
      </c>
      <c r="BK80" s="50">
        <v>0</v>
      </c>
      <c r="BL80" s="49">
        <v>30</v>
      </c>
      <c r="BM80" s="50">
        <v>96.7741935483871</v>
      </c>
      <c r="BN80" s="49">
        <v>31</v>
      </c>
    </row>
    <row r="81" spans="1:66" ht="15">
      <c r="A81" s="66" t="s">
        <v>283</v>
      </c>
      <c r="B81" s="66" t="s">
        <v>283</v>
      </c>
      <c r="C81" s="67" t="s">
        <v>2139</v>
      </c>
      <c r="D81" s="68">
        <v>3</v>
      </c>
      <c r="E81" s="69" t="s">
        <v>132</v>
      </c>
      <c r="F81" s="70">
        <v>32</v>
      </c>
      <c r="G81" s="67"/>
      <c r="H81" s="71"/>
      <c r="I81" s="72"/>
      <c r="J81" s="72"/>
      <c r="K81" s="35" t="s">
        <v>65</v>
      </c>
      <c r="L81" s="80">
        <v>81</v>
      </c>
      <c r="M81" s="80"/>
      <c r="N81" s="74"/>
      <c r="O81" s="82" t="s">
        <v>211</v>
      </c>
      <c r="P81" s="84">
        <v>44132.38832175926</v>
      </c>
      <c r="Q81" s="82" t="s">
        <v>357</v>
      </c>
      <c r="R81" s="82"/>
      <c r="S81" s="82"/>
      <c r="T81" s="82"/>
      <c r="U81" s="85" t="str">
        <f>HYPERLINK("https://pbs.twimg.com/media/ElZ8_-BUUAAx5s3.jpg")</f>
        <v>https://pbs.twimg.com/media/ElZ8_-BUUAAx5s3.jpg</v>
      </c>
      <c r="V81" s="85" t="str">
        <f>HYPERLINK("https://pbs.twimg.com/media/ElZ8_-BUUAAx5s3.jpg")</f>
        <v>https://pbs.twimg.com/media/ElZ8_-BUUAAx5s3.jpg</v>
      </c>
      <c r="W81" s="84">
        <v>44132.38832175926</v>
      </c>
      <c r="X81" s="89">
        <v>44132</v>
      </c>
      <c r="Y81" s="87" t="s">
        <v>581</v>
      </c>
      <c r="Z81" s="85" t="str">
        <f>HYPERLINK("https://twitter.com/40000037sm/status/1321380983673737217")</f>
        <v>https://twitter.com/40000037sm/status/1321380983673737217</v>
      </c>
      <c r="AA81" s="82"/>
      <c r="AB81" s="82"/>
      <c r="AC81" s="87" t="s">
        <v>770</v>
      </c>
      <c r="AD81" s="82"/>
      <c r="AE81" s="82" t="b">
        <v>0</v>
      </c>
      <c r="AF81" s="82">
        <v>157</v>
      </c>
      <c r="AG81" s="87" t="s">
        <v>957</v>
      </c>
      <c r="AH81" s="82" t="b">
        <v>0</v>
      </c>
      <c r="AI81" s="82" t="s">
        <v>974</v>
      </c>
      <c r="AJ81" s="82"/>
      <c r="AK81" s="87" t="s">
        <v>957</v>
      </c>
      <c r="AL81" s="82" t="b">
        <v>0</v>
      </c>
      <c r="AM81" s="82">
        <v>35</v>
      </c>
      <c r="AN81" s="87" t="s">
        <v>957</v>
      </c>
      <c r="AO81" s="87" t="s">
        <v>977</v>
      </c>
      <c r="AP81" s="82" t="b">
        <v>0</v>
      </c>
      <c r="AQ81" s="87" t="s">
        <v>770</v>
      </c>
      <c r="AR81" s="82" t="s">
        <v>330</v>
      </c>
      <c r="AS81" s="82">
        <v>0</v>
      </c>
      <c r="AT81" s="82">
        <v>0</v>
      </c>
      <c r="AU81" s="82"/>
      <c r="AV81" s="82"/>
      <c r="AW81" s="82"/>
      <c r="AX81" s="82"/>
      <c r="AY81" s="82"/>
      <c r="AZ81" s="82"/>
      <c r="BA81" s="82"/>
      <c r="BB81" s="82"/>
      <c r="BC81">
        <v>1</v>
      </c>
      <c r="BD81" s="81" t="str">
        <f>REPLACE(INDEX(GroupVertices[Group],MATCH(Edges[[#This Row],[Vertex 1]],GroupVertices[Vertex],0)),1,1,"")</f>
        <v>16</v>
      </c>
      <c r="BE81" s="81" t="str">
        <f>REPLACE(INDEX(GroupVertices[Group],MATCH(Edges[[#This Row],[Vertex 2]],GroupVertices[Vertex],0)),1,1,"")</f>
        <v>16</v>
      </c>
      <c r="BF81" s="49">
        <v>0</v>
      </c>
      <c r="BG81" s="50">
        <v>0</v>
      </c>
      <c r="BH81" s="49">
        <v>1</v>
      </c>
      <c r="BI81" s="50">
        <v>5.555555555555555</v>
      </c>
      <c r="BJ81" s="49">
        <v>0</v>
      </c>
      <c r="BK81" s="50">
        <v>0</v>
      </c>
      <c r="BL81" s="49">
        <v>17</v>
      </c>
      <c r="BM81" s="50">
        <v>94.44444444444444</v>
      </c>
      <c r="BN81" s="49">
        <v>18</v>
      </c>
    </row>
    <row r="82" spans="1:66" ht="15">
      <c r="A82" s="66" t="s">
        <v>284</v>
      </c>
      <c r="B82" s="66" t="s">
        <v>283</v>
      </c>
      <c r="C82" s="67" t="s">
        <v>2139</v>
      </c>
      <c r="D82" s="68">
        <v>3</v>
      </c>
      <c r="E82" s="69" t="s">
        <v>132</v>
      </c>
      <c r="F82" s="70">
        <v>32</v>
      </c>
      <c r="G82" s="67"/>
      <c r="H82" s="71"/>
      <c r="I82" s="72"/>
      <c r="J82" s="72"/>
      <c r="K82" s="35" t="s">
        <v>65</v>
      </c>
      <c r="L82" s="80">
        <v>82</v>
      </c>
      <c r="M82" s="80"/>
      <c r="N82" s="74"/>
      <c r="O82" s="82" t="s">
        <v>330</v>
      </c>
      <c r="P82" s="84">
        <v>44728.236342592594</v>
      </c>
      <c r="Q82" s="82" t="s">
        <v>357</v>
      </c>
      <c r="R82" s="82"/>
      <c r="S82" s="82"/>
      <c r="T82" s="82"/>
      <c r="U82" s="85" t="str">
        <f>HYPERLINK("https://pbs.twimg.com/media/ElZ8_-BUUAAx5s3.jpg")</f>
        <v>https://pbs.twimg.com/media/ElZ8_-BUUAAx5s3.jpg</v>
      </c>
      <c r="V82" s="85" t="str">
        <f>HYPERLINK("https://pbs.twimg.com/media/ElZ8_-BUUAAx5s3.jpg")</f>
        <v>https://pbs.twimg.com/media/ElZ8_-BUUAAx5s3.jpg</v>
      </c>
      <c r="W82" s="84">
        <v>44728.236342592594</v>
      </c>
      <c r="X82" s="89">
        <v>44728</v>
      </c>
      <c r="Y82" s="87" t="s">
        <v>582</v>
      </c>
      <c r="Z82" s="85" t="str">
        <f>HYPERLINK("https://twitter.com/perovskite_/status/1537309076907954176")</f>
        <v>https://twitter.com/perovskite_/status/1537309076907954176</v>
      </c>
      <c r="AA82" s="82"/>
      <c r="AB82" s="82"/>
      <c r="AC82" s="87" t="s">
        <v>771</v>
      </c>
      <c r="AD82" s="82"/>
      <c r="AE82" s="82" t="b">
        <v>0</v>
      </c>
      <c r="AF82" s="82">
        <v>0</v>
      </c>
      <c r="AG82" s="87" t="s">
        <v>957</v>
      </c>
      <c r="AH82" s="82" t="b">
        <v>0</v>
      </c>
      <c r="AI82" s="82" t="s">
        <v>974</v>
      </c>
      <c r="AJ82" s="82"/>
      <c r="AK82" s="87" t="s">
        <v>957</v>
      </c>
      <c r="AL82" s="82" t="b">
        <v>0</v>
      </c>
      <c r="AM82" s="82">
        <v>35</v>
      </c>
      <c r="AN82" s="87" t="s">
        <v>770</v>
      </c>
      <c r="AO82" s="87" t="s">
        <v>977</v>
      </c>
      <c r="AP82" s="82" t="b">
        <v>0</v>
      </c>
      <c r="AQ82" s="87" t="s">
        <v>770</v>
      </c>
      <c r="AR82" s="82" t="s">
        <v>211</v>
      </c>
      <c r="AS82" s="82">
        <v>0</v>
      </c>
      <c r="AT82" s="82">
        <v>0</v>
      </c>
      <c r="AU82" s="82"/>
      <c r="AV82" s="82"/>
      <c r="AW82" s="82"/>
      <c r="AX82" s="82"/>
      <c r="AY82" s="82"/>
      <c r="AZ82" s="82"/>
      <c r="BA82" s="82"/>
      <c r="BB82" s="82"/>
      <c r="BC82">
        <v>1</v>
      </c>
      <c r="BD82" s="81" t="str">
        <f>REPLACE(INDEX(GroupVertices[Group],MATCH(Edges[[#This Row],[Vertex 1]],GroupVertices[Vertex],0)),1,1,"")</f>
        <v>16</v>
      </c>
      <c r="BE82" s="81" t="str">
        <f>REPLACE(INDEX(GroupVertices[Group],MATCH(Edges[[#This Row],[Vertex 2]],GroupVertices[Vertex],0)),1,1,"")</f>
        <v>16</v>
      </c>
      <c r="BF82" s="49">
        <v>0</v>
      </c>
      <c r="BG82" s="50">
        <v>0</v>
      </c>
      <c r="BH82" s="49">
        <v>1</v>
      </c>
      <c r="BI82" s="50">
        <v>5.555555555555555</v>
      </c>
      <c r="BJ82" s="49">
        <v>0</v>
      </c>
      <c r="BK82" s="50">
        <v>0</v>
      </c>
      <c r="BL82" s="49">
        <v>17</v>
      </c>
      <c r="BM82" s="50">
        <v>94.44444444444444</v>
      </c>
      <c r="BN82" s="49">
        <v>18</v>
      </c>
    </row>
    <row r="83" spans="1:66" ht="15">
      <c r="A83" s="66" t="s">
        <v>285</v>
      </c>
      <c r="B83" s="66" t="s">
        <v>312</v>
      </c>
      <c r="C83" s="67" t="s">
        <v>2139</v>
      </c>
      <c r="D83" s="68">
        <v>3</v>
      </c>
      <c r="E83" s="69" t="s">
        <v>132</v>
      </c>
      <c r="F83" s="70">
        <v>32</v>
      </c>
      <c r="G83" s="67"/>
      <c r="H83" s="71"/>
      <c r="I83" s="72"/>
      <c r="J83" s="72"/>
      <c r="K83" s="35" t="s">
        <v>65</v>
      </c>
      <c r="L83" s="80">
        <v>83</v>
      </c>
      <c r="M83" s="80"/>
      <c r="N83" s="74"/>
      <c r="O83" s="82" t="s">
        <v>331</v>
      </c>
      <c r="P83" s="84">
        <v>44728.73653935185</v>
      </c>
      <c r="Q83" s="82" t="s">
        <v>358</v>
      </c>
      <c r="R83" s="82"/>
      <c r="S83" s="82"/>
      <c r="T83" s="82"/>
      <c r="U83" s="85" t="str">
        <f>HYPERLINK("https://pbs.twimg.com/media/FVZDUMKXsAEv0uD.jpg")</f>
        <v>https://pbs.twimg.com/media/FVZDUMKXsAEv0uD.jpg</v>
      </c>
      <c r="V83" s="85" t="str">
        <f>HYPERLINK("https://pbs.twimg.com/media/FVZDUMKXsAEv0uD.jpg")</f>
        <v>https://pbs.twimg.com/media/FVZDUMKXsAEv0uD.jpg</v>
      </c>
      <c r="W83" s="84">
        <v>44728.73653935185</v>
      </c>
      <c r="X83" s="89">
        <v>44728</v>
      </c>
      <c r="Y83" s="87" t="s">
        <v>583</v>
      </c>
      <c r="Z83" s="85" t="str">
        <f>HYPERLINK("https://twitter.com/myselle404/status/1537490341372239873")</f>
        <v>https://twitter.com/myselle404/status/1537490341372239873</v>
      </c>
      <c r="AA83" s="82"/>
      <c r="AB83" s="82"/>
      <c r="AC83" s="87" t="s">
        <v>772</v>
      </c>
      <c r="AD83" s="87" t="s">
        <v>945</v>
      </c>
      <c r="AE83" s="82" t="b">
        <v>0</v>
      </c>
      <c r="AF83" s="82">
        <v>1</v>
      </c>
      <c r="AG83" s="87" t="s">
        <v>963</v>
      </c>
      <c r="AH83" s="82" t="b">
        <v>0</v>
      </c>
      <c r="AI83" s="82" t="s">
        <v>973</v>
      </c>
      <c r="AJ83" s="82"/>
      <c r="AK83" s="87" t="s">
        <v>957</v>
      </c>
      <c r="AL83" s="82" t="b">
        <v>0</v>
      </c>
      <c r="AM83" s="82">
        <v>0</v>
      </c>
      <c r="AN83" s="87" t="s">
        <v>957</v>
      </c>
      <c r="AO83" s="87" t="s">
        <v>977</v>
      </c>
      <c r="AP83" s="82" t="b">
        <v>0</v>
      </c>
      <c r="AQ83" s="87" t="s">
        <v>945</v>
      </c>
      <c r="AR83" s="82" t="s">
        <v>211</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c r="BG83" s="50"/>
      <c r="BH83" s="49"/>
      <c r="BI83" s="50"/>
      <c r="BJ83" s="49"/>
      <c r="BK83" s="50"/>
      <c r="BL83" s="49"/>
      <c r="BM83" s="50"/>
      <c r="BN83" s="49"/>
    </row>
    <row r="84" spans="1:66" ht="15">
      <c r="A84" s="66" t="s">
        <v>285</v>
      </c>
      <c r="B84" s="66" t="s">
        <v>313</v>
      </c>
      <c r="C84" s="67" t="s">
        <v>2139</v>
      </c>
      <c r="D84" s="68">
        <v>3</v>
      </c>
      <c r="E84" s="69" t="s">
        <v>132</v>
      </c>
      <c r="F84" s="70">
        <v>32</v>
      </c>
      <c r="G84" s="67"/>
      <c r="H84" s="71"/>
      <c r="I84" s="72"/>
      <c r="J84" s="72"/>
      <c r="K84" s="35" t="s">
        <v>65</v>
      </c>
      <c r="L84" s="80">
        <v>84</v>
      </c>
      <c r="M84" s="80"/>
      <c r="N84" s="74"/>
      <c r="O84" s="82" t="s">
        <v>331</v>
      </c>
      <c r="P84" s="84">
        <v>44728.73653935185</v>
      </c>
      <c r="Q84" s="82" t="s">
        <v>358</v>
      </c>
      <c r="R84" s="82"/>
      <c r="S84" s="82"/>
      <c r="T84" s="82"/>
      <c r="U84" s="85" t="str">
        <f>HYPERLINK("https://pbs.twimg.com/media/FVZDUMKXsAEv0uD.jpg")</f>
        <v>https://pbs.twimg.com/media/FVZDUMKXsAEv0uD.jpg</v>
      </c>
      <c r="V84" s="85" t="str">
        <f>HYPERLINK("https://pbs.twimg.com/media/FVZDUMKXsAEv0uD.jpg")</f>
        <v>https://pbs.twimg.com/media/FVZDUMKXsAEv0uD.jpg</v>
      </c>
      <c r="W84" s="84">
        <v>44728.73653935185</v>
      </c>
      <c r="X84" s="89">
        <v>44728</v>
      </c>
      <c r="Y84" s="87" t="s">
        <v>583</v>
      </c>
      <c r="Z84" s="85" t="str">
        <f>HYPERLINK("https://twitter.com/myselle404/status/1537490341372239873")</f>
        <v>https://twitter.com/myselle404/status/1537490341372239873</v>
      </c>
      <c r="AA84" s="82"/>
      <c r="AB84" s="82"/>
      <c r="AC84" s="87" t="s">
        <v>772</v>
      </c>
      <c r="AD84" s="87" t="s">
        <v>945</v>
      </c>
      <c r="AE84" s="82" t="b">
        <v>0</v>
      </c>
      <c r="AF84" s="82">
        <v>1</v>
      </c>
      <c r="AG84" s="87" t="s">
        <v>963</v>
      </c>
      <c r="AH84" s="82" t="b">
        <v>0</v>
      </c>
      <c r="AI84" s="82" t="s">
        <v>973</v>
      </c>
      <c r="AJ84" s="82"/>
      <c r="AK84" s="87" t="s">
        <v>957</v>
      </c>
      <c r="AL84" s="82" t="b">
        <v>0</v>
      </c>
      <c r="AM84" s="82">
        <v>0</v>
      </c>
      <c r="AN84" s="87" t="s">
        <v>957</v>
      </c>
      <c r="AO84" s="87" t="s">
        <v>977</v>
      </c>
      <c r="AP84" s="82" t="b">
        <v>0</v>
      </c>
      <c r="AQ84" s="87" t="s">
        <v>945</v>
      </c>
      <c r="AR84" s="82" t="s">
        <v>211</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6" t="s">
        <v>285</v>
      </c>
      <c r="B85" s="66" t="s">
        <v>314</v>
      </c>
      <c r="C85" s="67" t="s">
        <v>2139</v>
      </c>
      <c r="D85" s="68">
        <v>3</v>
      </c>
      <c r="E85" s="69" t="s">
        <v>132</v>
      </c>
      <c r="F85" s="70">
        <v>32</v>
      </c>
      <c r="G85" s="67"/>
      <c r="H85" s="71"/>
      <c r="I85" s="72"/>
      <c r="J85" s="72"/>
      <c r="K85" s="35" t="s">
        <v>65</v>
      </c>
      <c r="L85" s="80">
        <v>85</v>
      </c>
      <c r="M85" s="80"/>
      <c r="N85" s="74"/>
      <c r="O85" s="82" t="s">
        <v>331</v>
      </c>
      <c r="P85" s="84">
        <v>44728.73653935185</v>
      </c>
      <c r="Q85" s="82" t="s">
        <v>358</v>
      </c>
      <c r="R85" s="82"/>
      <c r="S85" s="82"/>
      <c r="T85" s="82"/>
      <c r="U85" s="85" t="str">
        <f>HYPERLINK("https://pbs.twimg.com/media/FVZDUMKXsAEv0uD.jpg")</f>
        <v>https://pbs.twimg.com/media/FVZDUMKXsAEv0uD.jpg</v>
      </c>
      <c r="V85" s="85" t="str">
        <f>HYPERLINK("https://pbs.twimg.com/media/FVZDUMKXsAEv0uD.jpg")</f>
        <v>https://pbs.twimg.com/media/FVZDUMKXsAEv0uD.jpg</v>
      </c>
      <c r="W85" s="84">
        <v>44728.73653935185</v>
      </c>
      <c r="X85" s="89">
        <v>44728</v>
      </c>
      <c r="Y85" s="87" t="s">
        <v>583</v>
      </c>
      <c r="Z85" s="85" t="str">
        <f>HYPERLINK("https://twitter.com/myselle404/status/1537490341372239873")</f>
        <v>https://twitter.com/myselle404/status/1537490341372239873</v>
      </c>
      <c r="AA85" s="82"/>
      <c r="AB85" s="82"/>
      <c r="AC85" s="87" t="s">
        <v>772</v>
      </c>
      <c r="AD85" s="87" t="s">
        <v>945</v>
      </c>
      <c r="AE85" s="82" t="b">
        <v>0</v>
      </c>
      <c r="AF85" s="82">
        <v>1</v>
      </c>
      <c r="AG85" s="87" t="s">
        <v>963</v>
      </c>
      <c r="AH85" s="82" t="b">
        <v>0</v>
      </c>
      <c r="AI85" s="82" t="s">
        <v>973</v>
      </c>
      <c r="AJ85" s="82"/>
      <c r="AK85" s="87" t="s">
        <v>957</v>
      </c>
      <c r="AL85" s="82" t="b">
        <v>0</v>
      </c>
      <c r="AM85" s="82">
        <v>0</v>
      </c>
      <c r="AN85" s="87" t="s">
        <v>957</v>
      </c>
      <c r="AO85" s="87" t="s">
        <v>977</v>
      </c>
      <c r="AP85" s="82" t="b">
        <v>0</v>
      </c>
      <c r="AQ85" s="87" t="s">
        <v>945</v>
      </c>
      <c r="AR85" s="82" t="s">
        <v>211</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5</v>
      </c>
      <c r="BF85" s="49"/>
      <c r="BG85" s="50"/>
      <c r="BH85" s="49"/>
      <c r="BI85" s="50"/>
      <c r="BJ85" s="49"/>
      <c r="BK85" s="50"/>
      <c r="BL85" s="49"/>
      <c r="BM85" s="50"/>
      <c r="BN85" s="49"/>
    </row>
    <row r="86" spans="1:66" ht="15">
      <c r="A86" s="66" t="s">
        <v>285</v>
      </c>
      <c r="B86" s="66" t="s">
        <v>315</v>
      </c>
      <c r="C86" s="67" t="s">
        <v>2139</v>
      </c>
      <c r="D86" s="68">
        <v>3</v>
      </c>
      <c r="E86" s="69" t="s">
        <v>132</v>
      </c>
      <c r="F86" s="70">
        <v>32</v>
      </c>
      <c r="G86" s="67"/>
      <c r="H86" s="71"/>
      <c r="I86" s="72"/>
      <c r="J86" s="72"/>
      <c r="K86" s="35" t="s">
        <v>65</v>
      </c>
      <c r="L86" s="80">
        <v>86</v>
      </c>
      <c r="M86" s="80"/>
      <c r="N86" s="74"/>
      <c r="O86" s="82" t="s">
        <v>332</v>
      </c>
      <c r="P86" s="84">
        <v>44728.73653935185</v>
      </c>
      <c r="Q86" s="82" t="s">
        <v>358</v>
      </c>
      <c r="R86" s="82"/>
      <c r="S86" s="82"/>
      <c r="T86" s="82"/>
      <c r="U86" s="85" t="str">
        <f>HYPERLINK("https://pbs.twimg.com/media/FVZDUMKXsAEv0uD.jpg")</f>
        <v>https://pbs.twimg.com/media/FVZDUMKXsAEv0uD.jpg</v>
      </c>
      <c r="V86" s="85" t="str">
        <f>HYPERLINK("https://pbs.twimg.com/media/FVZDUMKXsAEv0uD.jpg")</f>
        <v>https://pbs.twimg.com/media/FVZDUMKXsAEv0uD.jpg</v>
      </c>
      <c r="W86" s="84">
        <v>44728.73653935185</v>
      </c>
      <c r="X86" s="89">
        <v>44728</v>
      </c>
      <c r="Y86" s="87" t="s">
        <v>583</v>
      </c>
      <c r="Z86" s="85" t="str">
        <f>HYPERLINK("https://twitter.com/myselle404/status/1537490341372239873")</f>
        <v>https://twitter.com/myselle404/status/1537490341372239873</v>
      </c>
      <c r="AA86" s="82"/>
      <c r="AB86" s="82"/>
      <c r="AC86" s="87" t="s">
        <v>772</v>
      </c>
      <c r="AD86" s="87" t="s">
        <v>945</v>
      </c>
      <c r="AE86" s="82" t="b">
        <v>0</v>
      </c>
      <c r="AF86" s="82">
        <v>1</v>
      </c>
      <c r="AG86" s="87" t="s">
        <v>963</v>
      </c>
      <c r="AH86" s="82" t="b">
        <v>0</v>
      </c>
      <c r="AI86" s="82" t="s">
        <v>973</v>
      </c>
      <c r="AJ86" s="82"/>
      <c r="AK86" s="87" t="s">
        <v>957</v>
      </c>
      <c r="AL86" s="82" t="b">
        <v>0</v>
      </c>
      <c r="AM86" s="82">
        <v>0</v>
      </c>
      <c r="AN86" s="87" t="s">
        <v>957</v>
      </c>
      <c r="AO86" s="87" t="s">
        <v>977</v>
      </c>
      <c r="AP86" s="82" t="b">
        <v>0</v>
      </c>
      <c r="AQ86" s="87" t="s">
        <v>945</v>
      </c>
      <c r="AR86" s="82" t="s">
        <v>211</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v>1</v>
      </c>
      <c r="BG86" s="50">
        <v>2.857142857142857</v>
      </c>
      <c r="BH86" s="49">
        <v>0</v>
      </c>
      <c r="BI86" s="50">
        <v>0</v>
      </c>
      <c r="BJ86" s="49">
        <v>0</v>
      </c>
      <c r="BK86" s="50">
        <v>0</v>
      </c>
      <c r="BL86" s="49">
        <v>34</v>
      </c>
      <c r="BM86" s="50">
        <v>97.14285714285714</v>
      </c>
      <c r="BN86" s="49">
        <v>35</v>
      </c>
    </row>
    <row r="87" spans="1:66" ht="15">
      <c r="A87" s="66" t="s">
        <v>286</v>
      </c>
      <c r="B87" s="66" t="s">
        <v>286</v>
      </c>
      <c r="C87" s="67" t="s">
        <v>2139</v>
      </c>
      <c r="D87" s="68">
        <v>3</v>
      </c>
      <c r="E87" s="69" t="s">
        <v>132</v>
      </c>
      <c r="F87" s="70">
        <v>32</v>
      </c>
      <c r="G87" s="67"/>
      <c r="H87" s="71"/>
      <c r="I87" s="72"/>
      <c r="J87" s="72"/>
      <c r="K87" s="35" t="s">
        <v>65</v>
      </c>
      <c r="L87" s="80">
        <v>87</v>
      </c>
      <c r="M87" s="80"/>
      <c r="N87" s="74"/>
      <c r="O87" s="82" t="s">
        <v>211</v>
      </c>
      <c r="P87" s="84">
        <v>44729.037511574075</v>
      </c>
      <c r="Q87" s="82" t="s">
        <v>359</v>
      </c>
      <c r="R87" s="82"/>
      <c r="S87" s="82"/>
      <c r="T87" s="82"/>
      <c r="U87" s="82"/>
      <c r="V87" s="85" t="str">
        <f>HYPERLINK("https://pbs.twimg.com/profile_images/1532136271568674818/yDRAQipo_normal.jpg")</f>
        <v>https://pbs.twimg.com/profile_images/1532136271568674818/yDRAQipo_normal.jpg</v>
      </c>
      <c r="W87" s="84">
        <v>44729.037511574075</v>
      </c>
      <c r="X87" s="89">
        <v>44729</v>
      </c>
      <c r="Y87" s="87" t="s">
        <v>584</v>
      </c>
      <c r="Z87" s="85" t="str">
        <f>HYPERLINK("https://twitter.com/billybobbaghold/status/1537599411936759808")</f>
        <v>https://twitter.com/billybobbaghold/status/1537599411936759808</v>
      </c>
      <c r="AA87" s="82"/>
      <c r="AB87" s="82"/>
      <c r="AC87" s="87" t="s">
        <v>773</v>
      </c>
      <c r="AD87" s="82"/>
      <c r="AE87" s="82" t="b">
        <v>0</v>
      </c>
      <c r="AF87" s="82">
        <v>7</v>
      </c>
      <c r="AG87" s="87" t="s">
        <v>957</v>
      </c>
      <c r="AH87" s="82" t="b">
        <v>0</v>
      </c>
      <c r="AI87" s="82" t="s">
        <v>973</v>
      </c>
      <c r="AJ87" s="82"/>
      <c r="AK87" s="87" t="s">
        <v>957</v>
      </c>
      <c r="AL87" s="82" t="b">
        <v>0</v>
      </c>
      <c r="AM87" s="82">
        <v>0</v>
      </c>
      <c r="AN87" s="87" t="s">
        <v>957</v>
      </c>
      <c r="AO87" s="87" t="s">
        <v>978</v>
      </c>
      <c r="AP87" s="82" t="b">
        <v>0</v>
      </c>
      <c r="AQ87" s="87" t="s">
        <v>773</v>
      </c>
      <c r="AR87" s="82" t="s">
        <v>211</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9</v>
      </c>
      <c r="BM87" s="50">
        <v>100</v>
      </c>
      <c r="BN87" s="49">
        <v>9</v>
      </c>
    </row>
    <row r="88" spans="1:66" ht="15">
      <c r="A88" s="66" t="s">
        <v>287</v>
      </c>
      <c r="B88" s="66" t="s">
        <v>316</v>
      </c>
      <c r="C88" s="67" t="s">
        <v>2139</v>
      </c>
      <c r="D88" s="68">
        <v>3</v>
      </c>
      <c r="E88" s="69" t="s">
        <v>132</v>
      </c>
      <c r="F88" s="70">
        <v>32</v>
      </c>
      <c r="G88" s="67"/>
      <c r="H88" s="71"/>
      <c r="I88" s="72"/>
      <c r="J88" s="72"/>
      <c r="K88" s="35" t="s">
        <v>65</v>
      </c>
      <c r="L88" s="80">
        <v>88</v>
      </c>
      <c r="M88" s="80"/>
      <c r="N88" s="74"/>
      <c r="O88" s="82" t="s">
        <v>331</v>
      </c>
      <c r="P88" s="84">
        <v>44726.719293981485</v>
      </c>
      <c r="Q88" s="82" t="s">
        <v>360</v>
      </c>
      <c r="R88" s="82"/>
      <c r="S88" s="82"/>
      <c r="T88" s="82"/>
      <c r="U88" s="85" t="str">
        <f>HYPERLINK("https://pbs.twimg.com/media/FVOqb1LWAAEpItO.jpg")</f>
        <v>https://pbs.twimg.com/media/FVOqb1LWAAEpItO.jpg</v>
      </c>
      <c r="V88" s="85" t="str">
        <f>HYPERLINK("https://pbs.twimg.com/media/FVOqb1LWAAEpItO.jpg")</f>
        <v>https://pbs.twimg.com/media/FVOqb1LWAAEpItO.jpg</v>
      </c>
      <c r="W88" s="84">
        <v>44726.719293981485</v>
      </c>
      <c r="X88" s="89">
        <v>44726</v>
      </c>
      <c r="Y88" s="87" t="s">
        <v>585</v>
      </c>
      <c r="Z88" s="85" t="str">
        <f>HYPERLINK("https://twitter.com/mr_hopkinson/status/1536759315360628736")</f>
        <v>https://twitter.com/mr_hopkinson/status/1536759315360628736</v>
      </c>
      <c r="AA88" s="82"/>
      <c r="AB88" s="82"/>
      <c r="AC88" s="87" t="s">
        <v>774</v>
      </c>
      <c r="AD88" s="87" t="s">
        <v>946</v>
      </c>
      <c r="AE88" s="82" t="b">
        <v>0</v>
      </c>
      <c r="AF88" s="82">
        <v>2</v>
      </c>
      <c r="AG88" s="87" t="s">
        <v>964</v>
      </c>
      <c r="AH88" s="82" t="b">
        <v>0</v>
      </c>
      <c r="AI88" s="82" t="s">
        <v>973</v>
      </c>
      <c r="AJ88" s="82"/>
      <c r="AK88" s="87" t="s">
        <v>957</v>
      </c>
      <c r="AL88" s="82" t="b">
        <v>0</v>
      </c>
      <c r="AM88" s="82">
        <v>0</v>
      </c>
      <c r="AN88" s="87" t="s">
        <v>957</v>
      </c>
      <c r="AO88" s="87" t="s">
        <v>978</v>
      </c>
      <c r="AP88" s="82" t="b">
        <v>0</v>
      </c>
      <c r="AQ88" s="87" t="s">
        <v>946</v>
      </c>
      <c r="AR88" s="82" t="s">
        <v>211</v>
      </c>
      <c r="AS88" s="82">
        <v>0</v>
      </c>
      <c r="AT88" s="82">
        <v>0</v>
      </c>
      <c r="AU88" s="82"/>
      <c r="AV88" s="82"/>
      <c r="AW88" s="82"/>
      <c r="AX88" s="82"/>
      <c r="AY88" s="82"/>
      <c r="AZ88" s="82"/>
      <c r="BA88" s="82"/>
      <c r="BB88" s="82"/>
      <c r="BC88">
        <v>1</v>
      </c>
      <c r="BD88" s="81" t="str">
        <f>REPLACE(INDEX(GroupVertices[Group],MATCH(Edges[[#This Row],[Vertex 1]],GroupVertices[Vertex],0)),1,1,"")</f>
        <v>7</v>
      </c>
      <c r="BE88" s="81" t="str">
        <f>REPLACE(INDEX(GroupVertices[Group],MATCH(Edges[[#This Row],[Vertex 2]],GroupVertices[Vertex],0)),1,1,"")</f>
        <v>7</v>
      </c>
      <c r="BF88" s="49"/>
      <c r="BG88" s="50"/>
      <c r="BH88" s="49"/>
      <c r="BI88" s="50"/>
      <c r="BJ88" s="49"/>
      <c r="BK88" s="50"/>
      <c r="BL88" s="49"/>
      <c r="BM88" s="50"/>
      <c r="BN88" s="49"/>
    </row>
    <row r="89" spans="1:66" ht="15">
      <c r="A89" s="66" t="s">
        <v>288</v>
      </c>
      <c r="B89" s="66" t="s">
        <v>288</v>
      </c>
      <c r="C89" s="67" t="s">
        <v>2139</v>
      </c>
      <c r="D89" s="68">
        <v>3</v>
      </c>
      <c r="E89" s="69" t="s">
        <v>132</v>
      </c>
      <c r="F89" s="70">
        <v>32</v>
      </c>
      <c r="G89" s="67"/>
      <c r="H89" s="71"/>
      <c r="I89" s="72"/>
      <c r="J89" s="72"/>
      <c r="K89" s="35" t="s">
        <v>65</v>
      </c>
      <c r="L89" s="80">
        <v>89</v>
      </c>
      <c r="M89" s="80"/>
      <c r="N89" s="74"/>
      <c r="O89" s="82" t="s">
        <v>211</v>
      </c>
      <c r="P89" s="84">
        <v>44723.91722222222</v>
      </c>
      <c r="Q89" s="85" t="str">
        <f>HYPERLINK("https://t.co/bKFo6sVXV7")</f>
        <v>https://t.co/bKFo6sVXV7</v>
      </c>
      <c r="R89" s="85" t="str">
        <f>HYPERLINK("https://www.northantstelegraph.co.uk/news/people/corby-art-and-music-maverick-bill-drummond-back-with-new-exhibition-3726882")</f>
        <v>https://www.northantstelegraph.co.uk/news/people/corby-art-and-music-maverick-bill-drummond-back-with-new-exhibition-3726882</v>
      </c>
      <c r="S89" s="82" t="s">
        <v>521</v>
      </c>
      <c r="T89" s="82"/>
      <c r="U89" s="82"/>
      <c r="V89" s="85" t="str">
        <f>HYPERLINK("https://pbs.twimg.com/profile_images/1307743069589123077/n7QOPxTW_normal.jpg")</f>
        <v>https://pbs.twimg.com/profile_images/1307743069589123077/n7QOPxTW_normal.jpg</v>
      </c>
      <c r="W89" s="84">
        <v>44723.91722222222</v>
      </c>
      <c r="X89" s="89">
        <v>44723</v>
      </c>
      <c r="Y89" s="87" t="s">
        <v>586</v>
      </c>
      <c r="Z89" s="85" t="str">
        <f>HYPERLINK("https://twitter.com/reactionsto2023/status/1535743880699731968")</f>
        <v>https://twitter.com/reactionsto2023/status/1535743880699731968</v>
      </c>
      <c r="AA89" s="82"/>
      <c r="AB89" s="82"/>
      <c r="AC89" s="87" t="s">
        <v>775</v>
      </c>
      <c r="AD89" s="82"/>
      <c r="AE89" s="82" t="b">
        <v>0</v>
      </c>
      <c r="AF89" s="82">
        <v>10</v>
      </c>
      <c r="AG89" s="87" t="s">
        <v>957</v>
      </c>
      <c r="AH89" s="82" t="b">
        <v>0</v>
      </c>
      <c r="AI89" s="82" t="s">
        <v>975</v>
      </c>
      <c r="AJ89" s="82"/>
      <c r="AK89" s="87" t="s">
        <v>957</v>
      </c>
      <c r="AL89" s="82" t="b">
        <v>0</v>
      </c>
      <c r="AM89" s="82">
        <v>1</v>
      </c>
      <c r="AN89" s="87" t="s">
        <v>957</v>
      </c>
      <c r="AO89" s="87" t="s">
        <v>977</v>
      </c>
      <c r="AP89" s="82" t="b">
        <v>0</v>
      </c>
      <c r="AQ89" s="87" t="s">
        <v>775</v>
      </c>
      <c r="AR89" s="82" t="s">
        <v>211</v>
      </c>
      <c r="AS89" s="82">
        <v>0</v>
      </c>
      <c r="AT89" s="82">
        <v>0</v>
      </c>
      <c r="AU89" s="82"/>
      <c r="AV89" s="82"/>
      <c r="AW89" s="82"/>
      <c r="AX89" s="82"/>
      <c r="AY89" s="82"/>
      <c r="AZ89" s="82"/>
      <c r="BA89" s="82"/>
      <c r="BB89" s="82"/>
      <c r="BC89">
        <v>1</v>
      </c>
      <c r="BD89" s="81" t="str">
        <f>REPLACE(INDEX(GroupVertices[Group],MATCH(Edges[[#This Row],[Vertex 1]],GroupVertices[Vertex],0)),1,1,"")</f>
        <v>7</v>
      </c>
      <c r="BE89" s="81" t="str">
        <f>REPLACE(INDEX(GroupVertices[Group],MATCH(Edges[[#This Row],[Vertex 2]],GroupVertices[Vertex],0)),1,1,"")</f>
        <v>7</v>
      </c>
      <c r="BF89" s="49">
        <v>0</v>
      </c>
      <c r="BG89" s="50">
        <v>0</v>
      </c>
      <c r="BH89" s="49">
        <v>0</v>
      </c>
      <c r="BI89" s="50">
        <v>0</v>
      </c>
      <c r="BJ89" s="49">
        <v>0</v>
      </c>
      <c r="BK89" s="50">
        <v>0</v>
      </c>
      <c r="BL89" s="49">
        <v>0</v>
      </c>
      <c r="BM89" s="50">
        <v>0</v>
      </c>
      <c r="BN89" s="49">
        <v>0</v>
      </c>
    </row>
    <row r="90" spans="1:66" ht="15">
      <c r="A90" s="66" t="s">
        <v>287</v>
      </c>
      <c r="B90" s="66" t="s">
        <v>288</v>
      </c>
      <c r="C90" s="67" t="s">
        <v>2139</v>
      </c>
      <c r="D90" s="68">
        <v>3</v>
      </c>
      <c r="E90" s="69" t="s">
        <v>132</v>
      </c>
      <c r="F90" s="70">
        <v>32</v>
      </c>
      <c r="G90" s="67"/>
      <c r="H90" s="71"/>
      <c r="I90" s="72"/>
      <c r="J90" s="72"/>
      <c r="K90" s="35" t="s">
        <v>65</v>
      </c>
      <c r="L90" s="80">
        <v>90</v>
      </c>
      <c r="M90" s="80"/>
      <c r="N90" s="74"/>
      <c r="O90" s="82" t="s">
        <v>332</v>
      </c>
      <c r="P90" s="84">
        <v>44726.719293981485</v>
      </c>
      <c r="Q90" s="82" t="s">
        <v>360</v>
      </c>
      <c r="R90" s="82"/>
      <c r="S90" s="82"/>
      <c r="T90" s="82"/>
      <c r="U90" s="85" t="str">
        <f>HYPERLINK("https://pbs.twimg.com/media/FVOqb1LWAAEpItO.jpg")</f>
        <v>https://pbs.twimg.com/media/FVOqb1LWAAEpItO.jpg</v>
      </c>
      <c r="V90" s="85" t="str">
        <f>HYPERLINK("https://pbs.twimg.com/media/FVOqb1LWAAEpItO.jpg")</f>
        <v>https://pbs.twimg.com/media/FVOqb1LWAAEpItO.jpg</v>
      </c>
      <c r="W90" s="84">
        <v>44726.719293981485</v>
      </c>
      <c r="X90" s="89">
        <v>44726</v>
      </c>
      <c r="Y90" s="87" t="s">
        <v>585</v>
      </c>
      <c r="Z90" s="85" t="str">
        <f>HYPERLINK("https://twitter.com/mr_hopkinson/status/1536759315360628736")</f>
        <v>https://twitter.com/mr_hopkinson/status/1536759315360628736</v>
      </c>
      <c r="AA90" s="82"/>
      <c r="AB90" s="82"/>
      <c r="AC90" s="87" t="s">
        <v>774</v>
      </c>
      <c r="AD90" s="87" t="s">
        <v>946</v>
      </c>
      <c r="AE90" s="82" t="b">
        <v>0</v>
      </c>
      <c r="AF90" s="82">
        <v>2</v>
      </c>
      <c r="AG90" s="87" t="s">
        <v>964</v>
      </c>
      <c r="AH90" s="82" t="b">
        <v>0</v>
      </c>
      <c r="AI90" s="82" t="s">
        <v>973</v>
      </c>
      <c r="AJ90" s="82"/>
      <c r="AK90" s="87" t="s">
        <v>957</v>
      </c>
      <c r="AL90" s="82" t="b">
        <v>0</v>
      </c>
      <c r="AM90" s="82">
        <v>0</v>
      </c>
      <c r="AN90" s="87" t="s">
        <v>957</v>
      </c>
      <c r="AO90" s="87" t="s">
        <v>978</v>
      </c>
      <c r="AP90" s="82" t="b">
        <v>0</v>
      </c>
      <c r="AQ90" s="87" t="s">
        <v>946</v>
      </c>
      <c r="AR90" s="82" t="s">
        <v>211</v>
      </c>
      <c r="AS90" s="82">
        <v>0</v>
      </c>
      <c r="AT90" s="82">
        <v>0</v>
      </c>
      <c r="AU90" s="82"/>
      <c r="AV90" s="82"/>
      <c r="AW90" s="82"/>
      <c r="AX90" s="82"/>
      <c r="AY90" s="82"/>
      <c r="AZ90" s="82"/>
      <c r="BA90" s="82"/>
      <c r="BB90" s="82"/>
      <c r="BC90">
        <v>1</v>
      </c>
      <c r="BD90" s="81" t="str">
        <f>REPLACE(INDEX(GroupVertices[Group],MATCH(Edges[[#This Row],[Vertex 1]],GroupVertices[Vertex],0)),1,1,"")</f>
        <v>7</v>
      </c>
      <c r="BE90" s="81" t="str">
        <f>REPLACE(INDEX(GroupVertices[Group],MATCH(Edges[[#This Row],[Vertex 2]],GroupVertices[Vertex],0)),1,1,"")</f>
        <v>7</v>
      </c>
      <c r="BF90" s="49">
        <v>0</v>
      </c>
      <c r="BG90" s="50">
        <v>0</v>
      </c>
      <c r="BH90" s="49">
        <v>0</v>
      </c>
      <c r="BI90" s="50">
        <v>0</v>
      </c>
      <c r="BJ90" s="49">
        <v>0</v>
      </c>
      <c r="BK90" s="50">
        <v>0</v>
      </c>
      <c r="BL90" s="49">
        <v>16</v>
      </c>
      <c r="BM90" s="50">
        <v>100</v>
      </c>
      <c r="BN90" s="49">
        <v>16</v>
      </c>
    </row>
    <row r="91" spans="1:66" ht="15">
      <c r="A91" s="66" t="s">
        <v>287</v>
      </c>
      <c r="B91" s="66" t="s">
        <v>317</v>
      </c>
      <c r="C91" s="67" t="s">
        <v>2139</v>
      </c>
      <c r="D91" s="68">
        <v>3</v>
      </c>
      <c r="E91" s="69" t="s">
        <v>132</v>
      </c>
      <c r="F91" s="70">
        <v>32</v>
      </c>
      <c r="G91" s="67"/>
      <c r="H91" s="71"/>
      <c r="I91" s="72"/>
      <c r="J91" s="72"/>
      <c r="K91" s="35" t="s">
        <v>65</v>
      </c>
      <c r="L91" s="80">
        <v>91</v>
      </c>
      <c r="M91" s="80"/>
      <c r="N91" s="74"/>
      <c r="O91" s="82" t="s">
        <v>332</v>
      </c>
      <c r="P91" s="84">
        <v>44729.63538194444</v>
      </c>
      <c r="Q91" s="82" t="s">
        <v>361</v>
      </c>
      <c r="R91" s="82" t="s">
        <v>518</v>
      </c>
      <c r="S91" s="82" t="s">
        <v>529</v>
      </c>
      <c r="T91" s="82"/>
      <c r="U91" s="82"/>
      <c r="V91" s="85" t="str">
        <f>HYPERLINK("https://pbs.twimg.com/profile_images/721901566/bighead_normal.jpg")</f>
        <v>https://pbs.twimg.com/profile_images/721901566/bighead_normal.jpg</v>
      </c>
      <c r="W91" s="84">
        <v>44729.63538194444</v>
      </c>
      <c r="X91" s="89">
        <v>44729</v>
      </c>
      <c r="Y91" s="87" t="s">
        <v>587</v>
      </c>
      <c r="Z91" s="85" t="str">
        <f>HYPERLINK("https://twitter.com/mr_hopkinson/status/1537816071813664768")</f>
        <v>https://twitter.com/mr_hopkinson/status/1537816071813664768</v>
      </c>
      <c r="AA91" s="82"/>
      <c r="AB91" s="82"/>
      <c r="AC91" s="87" t="s">
        <v>776</v>
      </c>
      <c r="AD91" s="87" t="s">
        <v>947</v>
      </c>
      <c r="AE91" s="82" t="b">
        <v>0</v>
      </c>
      <c r="AF91" s="82">
        <v>2</v>
      </c>
      <c r="AG91" s="87" t="s">
        <v>965</v>
      </c>
      <c r="AH91" s="82" t="b">
        <v>0</v>
      </c>
      <c r="AI91" s="82" t="s">
        <v>973</v>
      </c>
      <c r="AJ91" s="82"/>
      <c r="AK91" s="87" t="s">
        <v>957</v>
      </c>
      <c r="AL91" s="82" t="b">
        <v>0</v>
      </c>
      <c r="AM91" s="82">
        <v>0</v>
      </c>
      <c r="AN91" s="87" t="s">
        <v>957</v>
      </c>
      <c r="AO91" s="87" t="s">
        <v>978</v>
      </c>
      <c r="AP91" s="82" t="b">
        <v>0</v>
      </c>
      <c r="AQ91" s="87" t="s">
        <v>947</v>
      </c>
      <c r="AR91" s="82" t="s">
        <v>211</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v>0</v>
      </c>
      <c r="BG91" s="50">
        <v>0</v>
      </c>
      <c r="BH91" s="49">
        <v>0</v>
      </c>
      <c r="BI91" s="50">
        <v>0</v>
      </c>
      <c r="BJ91" s="49">
        <v>0</v>
      </c>
      <c r="BK91" s="50">
        <v>0</v>
      </c>
      <c r="BL91" s="49">
        <v>13</v>
      </c>
      <c r="BM91" s="50">
        <v>100</v>
      </c>
      <c r="BN91" s="49">
        <v>13</v>
      </c>
    </row>
    <row r="92" spans="1:66" ht="15">
      <c r="A92" s="66" t="s">
        <v>289</v>
      </c>
      <c r="B92" s="66" t="s">
        <v>289</v>
      </c>
      <c r="C92" s="67" t="s">
        <v>2139</v>
      </c>
      <c r="D92" s="68">
        <v>3</v>
      </c>
      <c r="E92" s="69" t="s">
        <v>132</v>
      </c>
      <c r="F92" s="70">
        <v>32</v>
      </c>
      <c r="G92" s="67"/>
      <c r="H92" s="71"/>
      <c r="I92" s="72"/>
      <c r="J92" s="72"/>
      <c r="K92" s="35" t="s">
        <v>65</v>
      </c>
      <c r="L92" s="80">
        <v>92</v>
      </c>
      <c r="M92" s="80"/>
      <c r="N92" s="74"/>
      <c r="O92" s="82" t="s">
        <v>211</v>
      </c>
      <c r="P92" s="84">
        <v>44729.698067129626</v>
      </c>
      <c r="Q92" s="82" t="s">
        <v>362</v>
      </c>
      <c r="R92" s="82"/>
      <c r="S92" s="82"/>
      <c r="T92" s="87" t="s">
        <v>538</v>
      </c>
      <c r="U92" s="82"/>
      <c r="V92" s="85" t="str">
        <f>HYPERLINK("https://pbs.twimg.com/profile_images/1487624100801564672/1PQL1gy1_normal.jpg")</f>
        <v>https://pbs.twimg.com/profile_images/1487624100801564672/1PQL1gy1_normal.jpg</v>
      </c>
      <c r="W92" s="84">
        <v>44729.698067129626</v>
      </c>
      <c r="X92" s="89">
        <v>44729</v>
      </c>
      <c r="Y92" s="87" t="s">
        <v>588</v>
      </c>
      <c r="Z92" s="85" t="str">
        <f>HYPERLINK("https://twitter.com/dawsepaws/status/1537838789909000193")</f>
        <v>https://twitter.com/dawsepaws/status/1537838789909000193</v>
      </c>
      <c r="AA92" s="82"/>
      <c r="AB92" s="82"/>
      <c r="AC92" s="87" t="s">
        <v>777</v>
      </c>
      <c r="AD92" s="82"/>
      <c r="AE92" s="82" t="b">
        <v>0</v>
      </c>
      <c r="AF92" s="82">
        <v>0</v>
      </c>
      <c r="AG92" s="87" t="s">
        <v>957</v>
      </c>
      <c r="AH92" s="82" t="b">
        <v>0</v>
      </c>
      <c r="AI92" s="82" t="s">
        <v>973</v>
      </c>
      <c r="AJ92" s="82"/>
      <c r="AK92" s="87" t="s">
        <v>957</v>
      </c>
      <c r="AL92" s="82" t="b">
        <v>0</v>
      </c>
      <c r="AM92" s="82">
        <v>0</v>
      </c>
      <c r="AN92" s="87" t="s">
        <v>957</v>
      </c>
      <c r="AO92" s="87" t="s">
        <v>976</v>
      </c>
      <c r="AP92" s="82" t="b">
        <v>0</v>
      </c>
      <c r="AQ92" s="87" t="s">
        <v>777</v>
      </c>
      <c r="AR92" s="82" t="s">
        <v>211</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v>2</v>
      </c>
      <c r="BG92" s="50">
        <v>7.407407407407407</v>
      </c>
      <c r="BH92" s="49">
        <v>0</v>
      </c>
      <c r="BI92" s="50">
        <v>0</v>
      </c>
      <c r="BJ92" s="49">
        <v>0</v>
      </c>
      <c r="BK92" s="50">
        <v>0</v>
      </c>
      <c r="BL92" s="49">
        <v>25</v>
      </c>
      <c r="BM92" s="50">
        <v>92.5925925925926</v>
      </c>
      <c r="BN92" s="49">
        <v>27</v>
      </c>
    </row>
    <row r="93" spans="1:66" ht="15">
      <c r="A93" s="66" t="s">
        <v>290</v>
      </c>
      <c r="B93" s="66" t="s">
        <v>318</v>
      </c>
      <c r="C93" s="67" t="s">
        <v>2139</v>
      </c>
      <c r="D93" s="68">
        <v>3</v>
      </c>
      <c r="E93" s="69" t="s">
        <v>132</v>
      </c>
      <c r="F93" s="70">
        <v>32</v>
      </c>
      <c r="G93" s="67"/>
      <c r="H93" s="71"/>
      <c r="I93" s="72"/>
      <c r="J93" s="72"/>
      <c r="K93" s="35" t="s">
        <v>65</v>
      </c>
      <c r="L93" s="80">
        <v>93</v>
      </c>
      <c r="M93" s="80"/>
      <c r="N93" s="74"/>
      <c r="O93" s="82" t="s">
        <v>331</v>
      </c>
      <c r="P93" s="84">
        <v>44729.79011574074</v>
      </c>
      <c r="Q93" s="82" t="s">
        <v>363</v>
      </c>
      <c r="R93" s="85" t="str">
        <f>HYPERLINK("https://twitter.com/NTelegraph/status/1535193040129871872")</f>
        <v>https://twitter.com/NTelegraph/status/1535193040129871872</v>
      </c>
      <c r="S93" s="82" t="s">
        <v>523</v>
      </c>
      <c r="T93" s="82"/>
      <c r="U93" s="82"/>
      <c r="V93" s="85" t="str">
        <f>HYPERLINK("https://pbs.twimg.com/profile_images/1533467812316037122/XBR7K4CO_normal.jpg")</f>
        <v>https://pbs.twimg.com/profile_images/1533467812316037122/XBR7K4CO_normal.jpg</v>
      </c>
      <c r="W93" s="84">
        <v>44729.79011574074</v>
      </c>
      <c r="X93" s="89">
        <v>44729</v>
      </c>
      <c r="Y93" s="87" t="s">
        <v>589</v>
      </c>
      <c r="Z93" s="85" t="str">
        <f>HYPERLINK("https://twitter.com/janeclifford23/status/1537872147724500994")</f>
        <v>https://twitter.com/janeclifford23/status/1537872147724500994</v>
      </c>
      <c r="AA93" s="82"/>
      <c r="AB93" s="82"/>
      <c r="AC93" s="87" t="s">
        <v>778</v>
      </c>
      <c r="AD93" s="82"/>
      <c r="AE93" s="82" t="b">
        <v>0</v>
      </c>
      <c r="AF93" s="82">
        <v>4</v>
      </c>
      <c r="AG93" s="87" t="s">
        <v>957</v>
      </c>
      <c r="AH93" s="82" t="b">
        <v>1</v>
      </c>
      <c r="AI93" s="82" t="s">
        <v>973</v>
      </c>
      <c r="AJ93" s="82"/>
      <c r="AK93" s="87" t="s">
        <v>937</v>
      </c>
      <c r="AL93" s="82" t="b">
        <v>0</v>
      </c>
      <c r="AM93" s="82">
        <v>0</v>
      </c>
      <c r="AN93" s="87" t="s">
        <v>957</v>
      </c>
      <c r="AO93" s="87" t="s">
        <v>978</v>
      </c>
      <c r="AP93" s="82" t="b">
        <v>0</v>
      </c>
      <c r="AQ93" s="87" t="s">
        <v>778</v>
      </c>
      <c r="AR93" s="82" t="s">
        <v>211</v>
      </c>
      <c r="AS93" s="82">
        <v>0</v>
      </c>
      <c r="AT93" s="82">
        <v>0</v>
      </c>
      <c r="AU93" s="82"/>
      <c r="AV93" s="82"/>
      <c r="AW93" s="82"/>
      <c r="AX93" s="82"/>
      <c r="AY93" s="82"/>
      <c r="AZ93" s="82"/>
      <c r="BA93" s="82"/>
      <c r="BB93" s="82"/>
      <c r="BC93">
        <v>1</v>
      </c>
      <c r="BD93" s="81" t="str">
        <f>REPLACE(INDEX(GroupVertices[Group],MATCH(Edges[[#This Row],[Vertex 1]],GroupVertices[Vertex],0)),1,1,"")</f>
        <v>15</v>
      </c>
      <c r="BE93" s="81" t="str">
        <f>REPLACE(INDEX(GroupVertices[Group],MATCH(Edges[[#This Row],[Vertex 2]],GroupVertices[Vertex],0)),1,1,"")</f>
        <v>15</v>
      </c>
      <c r="BF93" s="49">
        <v>0</v>
      </c>
      <c r="BG93" s="50">
        <v>0</v>
      </c>
      <c r="BH93" s="49">
        <v>1</v>
      </c>
      <c r="BI93" s="50">
        <v>4.3478260869565215</v>
      </c>
      <c r="BJ93" s="49">
        <v>0</v>
      </c>
      <c r="BK93" s="50">
        <v>0</v>
      </c>
      <c r="BL93" s="49">
        <v>22</v>
      </c>
      <c r="BM93" s="50">
        <v>95.65217391304348</v>
      </c>
      <c r="BN93" s="49">
        <v>23</v>
      </c>
    </row>
    <row r="94" spans="1:66" ht="15">
      <c r="A94" s="66" t="s">
        <v>291</v>
      </c>
      <c r="B94" s="66" t="s">
        <v>291</v>
      </c>
      <c r="C94" s="67" t="s">
        <v>2139</v>
      </c>
      <c r="D94" s="68">
        <v>3</v>
      </c>
      <c r="E94" s="69" t="s">
        <v>136</v>
      </c>
      <c r="F94" s="70">
        <v>31.81560283687943</v>
      </c>
      <c r="G94" s="67"/>
      <c r="H94" s="71"/>
      <c r="I94" s="72"/>
      <c r="J94" s="72"/>
      <c r="K94" s="35" t="s">
        <v>65</v>
      </c>
      <c r="L94" s="80">
        <v>94</v>
      </c>
      <c r="M94" s="80"/>
      <c r="N94" s="74"/>
      <c r="O94" s="82" t="s">
        <v>211</v>
      </c>
      <c r="P94" s="84">
        <v>44722.650196759256</v>
      </c>
      <c r="Q94" s="82" t="s">
        <v>334</v>
      </c>
      <c r="R94" s="82"/>
      <c r="S94" s="82"/>
      <c r="T94" s="82"/>
      <c r="U94" s="82"/>
      <c r="V94" s="85" t="str">
        <f>HYPERLINK("https://pbs.twimg.com/profile_images/1285214121890394113/0SxqGeHK_normal.jpg")</f>
        <v>https://pbs.twimg.com/profile_images/1285214121890394113/0SxqGeHK_normal.jpg</v>
      </c>
      <c r="W94" s="84">
        <v>44722.650196759256</v>
      </c>
      <c r="X94" s="89">
        <v>44722</v>
      </c>
      <c r="Y94" s="87" t="s">
        <v>590</v>
      </c>
      <c r="Z94" s="85" t="str">
        <f>HYPERLINK("https://twitter.com/mubot231/status/1535284726935629824")</f>
        <v>https://twitter.com/mubot231/status/1535284726935629824</v>
      </c>
      <c r="AA94" s="82"/>
      <c r="AB94" s="82"/>
      <c r="AC94" s="87" t="s">
        <v>779</v>
      </c>
      <c r="AD94" s="82"/>
      <c r="AE94" s="82" t="b">
        <v>0</v>
      </c>
      <c r="AF94" s="82">
        <v>0</v>
      </c>
      <c r="AG94" s="87" t="s">
        <v>957</v>
      </c>
      <c r="AH94" s="82" t="b">
        <v>0</v>
      </c>
      <c r="AI94" s="82" t="s">
        <v>973</v>
      </c>
      <c r="AJ94" s="82"/>
      <c r="AK94" s="87" t="s">
        <v>957</v>
      </c>
      <c r="AL94" s="82" t="b">
        <v>0</v>
      </c>
      <c r="AM94" s="82">
        <v>1</v>
      </c>
      <c r="AN94" s="87" t="s">
        <v>957</v>
      </c>
      <c r="AO94" s="87" t="s">
        <v>982</v>
      </c>
      <c r="AP94" s="82" t="b">
        <v>0</v>
      </c>
      <c r="AQ94" s="87" t="s">
        <v>779</v>
      </c>
      <c r="AR94" s="82" t="s">
        <v>211</v>
      </c>
      <c r="AS94" s="82">
        <v>0</v>
      </c>
      <c r="AT94" s="82">
        <v>0</v>
      </c>
      <c r="AU94" s="82"/>
      <c r="AV94" s="82"/>
      <c r="AW94" s="82"/>
      <c r="AX94" s="82"/>
      <c r="AY94" s="82"/>
      <c r="AZ94" s="82"/>
      <c r="BA94" s="82"/>
      <c r="BB94" s="82"/>
      <c r="BC94">
        <v>2</v>
      </c>
      <c r="BD94" s="81" t="str">
        <f>REPLACE(INDEX(GroupVertices[Group],MATCH(Edges[[#This Row],[Vertex 1]],GroupVertices[Vertex],0)),1,1,"")</f>
        <v>20</v>
      </c>
      <c r="BE94" s="81" t="str">
        <f>REPLACE(INDEX(GroupVertices[Group],MATCH(Edges[[#This Row],[Vertex 2]],GroupVertices[Vertex],0)),1,1,"")</f>
        <v>20</v>
      </c>
      <c r="BF94" s="49">
        <v>0</v>
      </c>
      <c r="BG94" s="50">
        <v>0</v>
      </c>
      <c r="BH94" s="49">
        <v>1</v>
      </c>
      <c r="BI94" s="50">
        <v>2</v>
      </c>
      <c r="BJ94" s="49">
        <v>0</v>
      </c>
      <c r="BK94" s="50">
        <v>0</v>
      </c>
      <c r="BL94" s="49">
        <v>49</v>
      </c>
      <c r="BM94" s="50">
        <v>98</v>
      </c>
      <c r="BN94" s="49">
        <v>50</v>
      </c>
    </row>
    <row r="95" spans="1:66" ht="15">
      <c r="A95" s="66" t="s">
        <v>291</v>
      </c>
      <c r="B95" s="66" t="s">
        <v>291</v>
      </c>
      <c r="C95" s="67" t="s">
        <v>2139</v>
      </c>
      <c r="D95" s="68">
        <v>3</v>
      </c>
      <c r="E95" s="69" t="s">
        <v>136</v>
      </c>
      <c r="F95" s="70">
        <v>31.81560283687943</v>
      </c>
      <c r="G95" s="67"/>
      <c r="H95" s="71"/>
      <c r="I95" s="72"/>
      <c r="J95" s="72"/>
      <c r="K95" s="35" t="s">
        <v>65</v>
      </c>
      <c r="L95" s="80">
        <v>95</v>
      </c>
      <c r="M95" s="80"/>
      <c r="N95" s="74"/>
      <c r="O95" s="82" t="s">
        <v>211</v>
      </c>
      <c r="P95" s="84">
        <v>44730.02532407407</v>
      </c>
      <c r="Q95" s="82" t="s">
        <v>364</v>
      </c>
      <c r="R95" s="82"/>
      <c r="S95" s="82"/>
      <c r="T95" s="82"/>
      <c r="U95" s="82"/>
      <c r="V95" s="85" t="str">
        <f>HYPERLINK("https://pbs.twimg.com/profile_images/1285214121890394113/0SxqGeHK_normal.jpg")</f>
        <v>https://pbs.twimg.com/profile_images/1285214121890394113/0SxqGeHK_normal.jpg</v>
      </c>
      <c r="W95" s="84">
        <v>44730.02532407407</v>
      </c>
      <c r="X95" s="89">
        <v>44730</v>
      </c>
      <c r="Y95" s="87" t="s">
        <v>591</v>
      </c>
      <c r="Z95" s="85" t="str">
        <f>HYPERLINK("https://twitter.com/mubot231/status/1537957380402556929")</f>
        <v>https://twitter.com/mubot231/status/1537957380402556929</v>
      </c>
      <c r="AA95" s="82"/>
      <c r="AB95" s="82"/>
      <c r="AC95" s="87" t="s">
        <v>780</v>
      </c>
      <c r="AD95" s="82"/>
      <c r="AE95" s="82" t="b">
        <v>0</v>
      </c>
      <c r="AF95" s="82">
        <v>0</v>
      </c>
      <c r="AG95" s="87" t="s">
        <v>957</v>
      </c>
      <c r="AH95" s="82" t="b">
        <v>0</v>
      </c>
      <c r="AI95" s="82" t="s">
        <v>973</v>
      </c>
      <c r="AJ95" s="82"/>
      <c r="AK95" s="87" t="s">
        <v>957</v>
      </c>
      <c r="AL95" s="82" t="b">
        <v>0</v>
      </c>
      <c r="AM95" s="82">
        <v>0</v>
      </c>
      <c r="AN95" s="87" t="s">
        <v>957</v>
      </c>
      <c r="AO95" s="87" t="s">
        <v>982</v>
      </c>
      <c r="AP95" s="82" t="b">
        <v>0</v>
      </c>
      <c r="AQ95" s="87" t="s">
        <v>780</v>
      </c>
      <c r="AR95" s="82" t="s">
        <v>211</v>
      </c>
      <c r="AS95" s="82">
        <v>0</v>
      </c>
      <c r="AT95" s="82">
        <v>0</v>
      </c>
      <c r="AU95" s="82"/>
      <c r="AV95" s="82"/>
      <c r="AW95" s="82"/>
      <c r="AX95" s="82"/>
      <c r="AY95" s="82"/>
      <c r="AZ95" s="82"/>
      <c r="BA95" s="82"/>
      <c r="BB95" s="82"/>
      <c r="BC95">
        <v>2</v>
      </c>
      <c r="BD95" s="81" t="str">
        <f>REPLACE(INDEX(GroupVertices[Group],MATCH(Edges[[#This Row],[Vertex 1]],GroupVertices[Vertex],0)),1,1,"")</f>
        <v>20</v>
      </c>
      <c r="BE95" s="81" t="str">
        <f>REPLACE(INDEX(GroupVertices[Group],MATCH(Edges[[#This Row],[Vertex 2]],GroupVertices[Vertex],0)),1,1,"")</f>
        <v>20</v>
      </c>
      <c r="BF95" s="49">
        <v>0</v>
      </c>
      <c r="BG95" s="50">
        <v>0</v>
      </c>
      <c r="BH95" s="49">
        <v>1</v>
      </c>
      <c r="BI95" s="50">
        <v>3.7037037037037037</v>
      </c>
      <c r="BJ95" s="49">
        <v>1</v>
      </c>
      <c r="BK95" s="50">
        <v>3.7037037037037037</v>
      </c>
      <c r="BL95" s="49">
        <v>26</v>
      </c>
      <c r="BM95" s="50">
        <v>96.29629629629629</v>
      </c>
      <c r="BN95" s="49">
        <v>27</v>
      </c>
    </row>
    <row r="96" spans="1:66" ht="15">
      <c r="A96" s="66" t="s">
        <v>292</v>
      </c>
      <c r="B96" s="66" t="s">
        <v>319</v>
      </c>
      <c r="C96" s="67" t="s">
        <v>2139</v>
      </c>
      <c r="D96" s="68">
        <v>3</v>
      </c>
      <c r="E96" s="69" t="s">
        <v>132</v>
      </c>
      <c r="F96" s="70">
        <v>32</v>
      </c>
      <c r="G96" s="67"/>
      <c r="H96" s="71"/>
      <c r="I96" s="72"/>
      <c r="J96" s="72"/>
      <c r="K96" s="35" t="s">
        <v>65</v>
      </c>
      <c r="L96" s="80">
        <v>96</v>
      </c>
      <c r="M96" s="80"/>
      <c r="N96" s="74"/>
      <c r="O96" s="82" t="s">
        <v>332</v>
      </c>
      <c r="P96" s="84">
        <v>44730.320289351854</v>
      </c>
      <c r="Q96" s="82" t="s">
        <v>365</v>
      </c>
      <c r="R96" s="82"/>
      <c r="S96" s="82"/>
      <c r="T96" s="82"/>
      <c r="U96" s="82"/>
      <c r="V96" s="85" t="str">
        <f>HYPERLINK("https://pbs.twimg.com/profile_images/378800000668567260/de8f8f997e027c4009f41eb7b92f5d34_normal.jpeg")</f>
        <v>https://pbs.twimg.com/profile_images/378800000668567260/de8f8f997e027c4009f41eb7b92f5d34_normal.jpeg</v>
      </c>
      <c r="W96" s="84">
        <v>44730.320289351854</v>
      </c>
      <c r="X96" s="89">
        <v>44730</v>
      </c>
      <c r="Y96" s="87" t="s">
        <v>592</v>
      </c>
      <c r="Z96" s="85" t="str">
        <f>HYPERLINK("https://twitter.com/peterradiator/status/1538064275792609282")</f>
        <v>https://twitter.com/peterradiator/status/1538064275792609282</v>
      </c>
      <c r="AA96" s="82"/>
      <c r="AB96" s="82"/>
      <c r="AC96" s="87" t="s">
        <v>781</v>
      </c>
      <c r="AD96" s="87" t="s">
        <v>948</v>
      </c>
      <c r="AE96" s="82" t="b">
        <v>0</v>
      </c>
      <c r="AF96" s="82">
        <v>1</v>
      </c>
      <c r="AG96" s="87" t="s">
        <v>966</v>
      </c>
      <c r="AH96" s="82" t="b">
        <v>0</v>
      </c>
      <c r="AI96" s="82" t="s">
        <v>973</v>
      </c>
      <c r="AJ96" s="82"/>
      <c r="AK96" s="87" t="s">
        <v>957</v>
      </c>
      <c r="AL96" s="82" t="b">
        <v>0</v>
      </c>
      <c r="AM96" s="82">
        <v>0</v>
      </c>
      <c r="AN96" s="87" t="s">
        <v>957</v>
      </c>
      <c r="AO96" s="87" t="s">
        <v>977</v>
      </c>
      <c r="AP96" s="82" t="b">
        <v>0</v>
      </c>
      <c r="AQ96" s="87" t="s">
        <v>948</v>
      </c>
      <c r="AR96" s="82" t="s">
        <v>211</v>
      </c>
      <c r="AS96" s="82">
        <v>0</v>
      </c>
      <c r="AT96" s="82">
        <v>0</v>
      </c>
      <c r="AU96" s="82"/>
      <c r="AV96" s="82"/>
      <c r="AW96" s="82"/>
      <c r="AX96" s="82"/>
      <c r="AY96" s="82"/>
      <c r="AZ96" s="82"/>
      <c r="BA96" s="82"/>
      <c r="BB96" s="82"/>
      <c r="BC96">
        <v>1</v>
      </c>
      <c r="BD96" s="81" t="str">
        <f>REPLACE(INDEX(GroupVertices[Group],MATCH(Edges[[#This Row],[Vertex 1]],GroupVertices[Vertex],0)),1,1,"")</f>
        <v>14</v>
      </c>
      <c r="BE96" s="81" t="str">
        <f>REPLACE(INDEX(GroupVertices[Group],MATCH(Edges[[#This Row],[Vertex 2]],GroupVertices[Vertex],0)),1,1,"")</f>
        <v>14</v>
      </c>
      <c r="BF96" s="49">
        <v>1</v>
      </c>
      <c r="BG96" s="50">
        <v>11.11111111111111</v>
      </c>
      <c r="BH96" s="49">
        <v>0</v>
      </c>
      <c r="BI96" s="50">
        <v>0</v>
      </c>
      <c r="BJ96" s="49">
        <v>0</v>
      </c>
      <c r="BK96" s="50">
        <v>0</v>
      </c>
      <c r="BL96" s="49">
        <v>8</v>
      </c>
      <c r="BM96" s="50">
        <v>88.88888888888889</v>
      </c>
      <c r="BN96" s="49">
        <v>9</v>
      </c>
    </row>
    <row r="97" spans="1:66" ht="15">
      <c r="A97" s="66" t="s">
        <v>293</v>
      </c>
      <c r="B97" s="66" t="s">
        <v>293</v>
      </c>
      <c r="C97" s="67" t="s">
        <v>2139</v>
      </c>
      <c r="D97" s="68">
        <v>3</v>
      </c>
      <c r="E97" s="69" t="s">
        <v>132</v>
      </c>
      <c r="F97" s="70">
        <v>32</v>
      </c>
      <c r="G97" s="67"/>
      <c r="H97" s="71"/>
      <c r="I97" s="72"/>
      <c r="J97" s="72"/>
      <c r="K97" s="35" t="s">
        <v>65</v>
      </c>
      <c r="L97" s="80">
        <v>97</v>
      </c>
      <c r="M97" s="80"/>
      <c r="N97" s="74"/>
      <c r="O97" s="82" t="s">
        <v>211</v>
      </c>
      <c r="P97" s="84">
        <v>44730.349328703705</v>
      </c>
      <c r="Q97" s="82" t="s">
        <v>366</v>
      </c>
      <c r="R97" s="85" t="str">
        <f>HYPERLINK("https://www.northantstelegraph.co.uk/news/people/corby-art-and-music-maverick-bill-drummond-back-with-new-exhibition-3726882")</f>
        <v>https://www.northantstelegraph.co.uk/news/people/corby-art-and-music-maverick-bill-drummond-back-with-new-exhibition-3726882</v>
      </c>
      <c r="S97" s="82" t="s">
        <v>521</v>
      </c>
      <c r="T97" s="87" t="s">
        <v>539</v>
      </c>
      <c r="U97" s="85" t="str">
        <f>HYPERLINK("https://pbs.twimg.com/media/FVhW4L-WUAIJrX5.jpg")</f>
        <v>https://pbs.twimg.com/media/FVhW4L-WUAIJrX5.jpg</v>
      </c>
      <c r="V97" s="85" t="str">
        <f>HYPERLINK("https://pbs.twimg.com/media/FVhW4L-WUAIJrX5.jpg")</f>
        <v>https://pbs.twimg.com/media/FVhW4L-WUAIJrX5.jpg</v>
      </c>
      <c r="W97" s="84">
        <v>44730.349328703705</v>
      </c>
      <c r="X97" s="89">
        <v>44730</v>
      </c>
      <c r="Y97" s="87" t="s">
        <v>593</v>
      </c>
      <c r="Z97" s="85" t="str">
        <f>HYPERLINK("https://twitter.com/ironmanrecords/status/1538074799091638277")</f>
        <v>https://twitter.com/ironmanrecords/status/1538074799091638277</v>
      </c>
      <c r="AA97" s="82"/>
      <c r="AB97" s="82"/>
      <c r="AC97" s="87" t="s">
        <v>782</v>
      </c>
      <c r="AD97" s="82"/>
      <c r="AE97" s="82" t="b">
        <v>0</v>
      </c>
      <c r="AF97" s="82">
        <v>0</v>
      </c>
      <c r="AG97" s="87" t="s">
        <v>957</v>
      </c>
      <c r="AH97" s="82" t="b">
        <v>0</v>
      </c>
      <c r="AI97" s="82" t="s">
        <v>973</v>
      </c>
      <c r="AJ97" s="82"/>
      <c r="AK97" s="87" t="s">
        <v>957</v>
      </c>
      <c r="AL97" s="82" t="b">
        <v>0</v>
      </c>
      <c r="AM97" s="82">
        <v>0</v>
      </c>
      <c r="AN97" s="87" t="s">
        <v>957</v>
      </c>
      <c r="AO97" s="87" t="s">
        <v>983</v>
      </c>
      <c r="AP97" s="82" t="b">
        <v>0</v>
      </c>
      <c r="AQ97" s="87" t="s">
        <v>782</v>
      </c>
      <c r="AR97" s="82" t="s">
        <v>211</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6" t="s">
        <v>294</v>
      </c>
      <c r="B98" s="66" t="s">
        <v>299</v>
      </c>
      <c r="C98" s="67" t="s">
        <v>2139</v>
      </c>
      <c r="D98" s="68">
        <v>3</v>
      </c>
      <c r="E98" s="69" t="s">
        <v>132</v>
      </c>
      <c r="F98" s="70">
        <v>32</v>
      </c>
      <c r="G98" s="67"/>
      <c r="H98" s="71"/>
      <c r="I98" s="72"/>
      <c r="J98" s="72"/>
      <c r="K98" s="35" t="s">
        <v>65</v>
      </c>
      <c r="L98" s="80">
        <v>98</v>
      </c>
      <c r="M98" s="80"/>
      <c r="N98" s="74"/>
      <c r="O98" s="82" t="s">
        <v>330</v>
      </c>
      <c r="P98" s="84">
        <v>44730.86954861111</v>
      </c>
      <c r="Q98" s="82" t="s">
        <v>367</v>
      </c>
      <c r="R98" s="82"/>
      <c r="S98" s="82"/>
      <c r="T98" s="82"/>
      <c r="U98" s="85" t="str">
        <f>HYPERLINK("https://pbs.twimg.com/media/FVj7MrJXEAAFBD2.jpg")</f>
        <v>https://pbs.twimg.com/media/FVj7MrJXEAAFBD2.jpg</v>
      </c>
      <c r="V98" s="85" t="str">
        <f>HYPERLINK("https://pbs.twimg.com/media/FVj7MrJXEAAFBD2.jpg")</f>
        <v>https://pbs.twimg.com/media/FVj7MrJXEAAFBD2.jpg</v>
      </c>
      <c r="W98" s="84">
        <v>44730.86954861111</v>
      </c>
      <c r="X98" s="89">
        <v>44730</v>
      </c>
      <c r="Y98" s="87" t="s">
        <v>594</v>
      </c>
      <c r="Z98" s="85" t="str">
        <f>HYPERLINK("https://twitter.com/realpilleater/status/1538263317248102400")</f>
        <v>https://twitter.com/realpilleater/status/1538263317248102400</v>
      </c>
      <c r="AA98" s="82"/>
      <c r="AB98" s="82"/>
      <c r="AC98" s="87" t="s">
        <v>783</v>
      </c>
      <c r="AD98" s="82"/>
      <c r="AE98" s="82" t="b">
        <v>0</v>
      </c>
      <c r="AF98" s="82">
        <v>0</v>
      </c>
      <c r="AG98" s="87" t="s">
        <v>957</v>
      </c>
      <c r="AH98" s="82" t="b">
        <v>0</v>
      </c>
      <c r="AI98" s="82" t="s">
        <v>973</v>
      </c>
      <c r="AJ98" s="82"/>
      <c r="AK98" s="87" t="s">
        <v>957</v>
      </c>
      <c r="AL98" s="82" t="b">
        <v>0</v>
      </c>
      <c r="AM98" s="82">
        <v>3</v>
      </c>
      <c r="AN98" s="87" t="s">
        <v>788</v>
      </c>
      <c r="AO98" s="87" t="s">
        <v>978</v>
      </c>
      <c r="AP98" s="82" t="b">
        <v>0</v>
      </c>
      <c r="AQ98" s="87" t="s">
        <v>788</v>
      </c>
      <c r="AR98" s="82" t="s">
        <v>211</v>
      </c>
      <c r="AS98" s="82">
        <v>0</v>
      </c>
      <c r="AT98" s="82">
        <v>0</v>
      </c>
      <c r="AU98" s="82"/>
      <c r="AV98" s="82"/>
      <c r="AW98" s="82"/>
      <c r="AX98" s="82"/>
      <c r="AY98" s="82"/>
      <c r="AZ98" s="82"/>
      <c r="BA98" s="82"/>
      <c r="BB98" s="82"/>
      <c r="BC98">
        <v>1</v>
      </c>
      <c r="BD98" s="81" t="str">
        <f>REPLACE(INDEX(GroupVertices[Group],MATCH(Edges[[#This Row],[Vertex 1]],GroupVertices[Vertex],0)),1,1,"")</f>
        <v>9</v>
      </c>
      <c r="BE98" s="81" t="str">
        <f>REPLACE(INDEX(GroupVertices[Group],MATCH(Edges[[#This Row],[Vertex 2]],GroupVertices[Vertex],0)),1,1,"")</f>
        <v>9</v>
      </c>
      <c r="BF98" s="49">
        <v>3</v>
      </c>
      <c r="BG98" s="50">
        <v>10.714285714285714</v>
      </c>
      <c r="BH98" s="49">
        <v>1</v>
      </c>
      <c r="BI98" s="50">
        <v>3.5714285714285716</v>
      </c>
      <c r="BJ98" s="49">
        <v>0</v>
      </c>
      <c r="BK98" s="50">
        <v>0</v>
      </c>
      <c r="BL98" s="49">
        <v>24</v>
      </c>
      <c r="BM98" s="50">
        <v>85.71428571428571</v>
      </c>
      <c r="BN98" s="49">
        <v>28</v>
      </c>
    </row>
    <row r="99" spans="1:66" ht="15">
      <c r="A99" s="66" t="s">
        <v>295</v>
      </c>
      <c r="B99" s="66" t="s">
        <v>320</v>
      </c>
      <c r="C99" s="67" t="s">
        <v>2139</v>
      </c>
      <c r="D99" s="68">
        <v>3</v>
      </c>
      <c r="E99" s="69" t="s">
        <v>132</v>
      </c>
      <c r="F99" s="70">
        <v>32</v>
      </c>
      <c r="G99" s="67"/>
      <c r="H99" s="71"/>
      <c r="I99" s="72"/>
      <c r="J99" s="72"/>
      <c r="K99" s="35" t="s">
        <v>65</v>
      </c>
      <c r="L99" s="80">
        <v>99</v>
      </c>
      <c r="M99" s="80"/>
      <c r="N99" s="74"/>
      <c r="O99" s="82" t="s">
        <v>331</v>
      </c>
      <c r="P99" s="84">
        <v>44730.875451388885</v>
      </c>
      <c r="Q99" s="82" t="s">
        <v>368</v>
      </c>
      <c r="R99" s="82"/>
      <c r="S99" s="82"/>
      <c r="T99" s="82"/>
      <c r="U99" s="82"/>
      <c r="V99" s="85" t="str">
        <f>HYPERLINK("https://pbs.twimg.com/profile_images/512321332512837633/EOPmQ3gK_normal.jpeg")</f>
        <v>https://pbs.twimg.com/profile_images/512321332512837633/EOPmQ3gK_normal.jpeg</v>
      </c>
      <c r="W99" s="84">
        <v>44730.875451388885</v>
      </c>
      <c r="X99" s="89">
        <v>44730</v>
      </c>
      <c r="Y99" s="87" t="s">
        <v>595</v>
      </c>
      <c r="Z99" s="85" t="str">
        <f>HYPERLINK("https://twitter.com/michaelmee_too/status/1538265458293579779")</f>
        <v>https://twitter.com/michaelmee_too/status/1538265458293579779</v>
      </c>
      <c r="AA99" s="82"/>
      <c r="AB99" s="82"/>
      <c r="AC99" s="87" t="s">
        <v>784</v>
      </c>
      <c r="AD99" s="87" t="s">
        <v>949</v>
      </c>
      <c r="AE99" s="82" t="b">
        <v>0</v>
      </c>
      <c r="AF99" s="82">
        <v>2</v>
      </c>
      <c r="AG99" s="87" t="s">
        <v>967</v>
      </c>
      <c r="AH99" s="82" t="b">
        <v>0</v>
      </c>
      <c r="AI99" s="82" t="s">
        <v>973</v>
      </c>
      <c r="AJ99" s="82"/>
      <c r="AK99" s="87" t="s">
        <v>957</v>
      </c>
      <c r="AL99" s="82" t="b">
        <v>0</v>
      </c>
      <c r="AM99" s="82">
        <v>0</v>
      </c>
      <c r="AN99" s="87" t="s">
        <v>957</v>
      </c>
      <c r="AO99" s="87" t="s">
        <v>976</v>
      </c>
      <c r="AP99" s="82" t="b">
        <v>0</v>
      </c>
      <c r="AQ99" s="87" t="s">
        <v>949</v>
      </c>
      <c r="AR99" s="82" t="s">
        <v>211</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c r="BG99" s="50"/>
      <c r="BH99" s="49"/>
      <c r="BI99" s="50"/>
      <c r="BJ99" s="49"/>
      <c r="BK99" s="50"/>
      <c r="BL99" s="49"/>
      <c r="BM99" s="50"/>
      <c r="BN99" s="49"/>
    </row>
    <row r="100" spans="1:66" ht="15">
      <c r="A100" s="66" t="s">
        <v>295</v>
      </c>
      <c r="B100" s="66" t="s">
        <v>321</v>
      </c>
      <c r="C100" s="67" t="s">
        <v>2139</v>
      </c>
      <c r="D100" s="68">
        <v>3</v>
      </c>
      <c r="E100" s="69" t="s">
        <v>132</v>
      </c>
      <c r="F100" s="70">
        <v>32</v>
      </c>
      <c r="G100" s="67"/>
      <c r="H100" s="71"/>
      <c r="I100" s="72"/>
      <c r="J100" s="72"/>
      <c r="K100" s="35" t="s">
        <v>65</v>
      </c>
      <c r="L100" s="80">
        <v>100</v>
      </c>
      <c r="M100" s="80"/>
      <c r="N100" s="74"/>
      <c r="O100" s="82" t="s">
        <v>332</v>
      </c>
      <c r="P100" s="84">
        <v>44730.875451388885</v>
      </c>
      <c r="Q100" s="82" t="s">
        <v>368</v>
      </c>
      <c r="R100" s="82"/>
      <c r="S100" s="82"/>
      <c r="T100" s="82"/>
      <c r="U100" s="82"/>
      <c r="V100" s="85" t="str">
        <f>HYPERLINK("https://pbs.twimg.com/profile_images/512321332512837633/EOPmQ3gK_normal.jpeg")</f>
        <v>https://pbs.twimg.com/profile_images/512321332512837633/EOPmQ3gK_normal.jpeg</v>
      </c>
      <c r="W100" s="84">
        <v>44730.875451388885</v>
      </c>
      <c r="X100" s="89">
        <v>44730</v>
      </c>
      <c r="Y100" s="87" t="s">
        <v>595</v>
      </c>
      <c r="Z100" s="85" t="str">
        <f>HYPERLINK("https://twitter.com/michaelmee_too/status/1538265458293579779")</f>
        <v>https://twitter.com/michaelmee_too/status/1538265458293579779</v>
      </c>
      <c r="AA100" s="82"/>
      <c r="AB100" s="82"/>
      <c r="AC100" s="87" t="s">
        <v>784</v>
      </c>
      <c r="AD100" s="87" t="s">
        <v>949</v>
      </c>
      <c r="AE100" s="82" t="b">
        <v>0</v>
      </c>
      <c r="AF100" s="82">
        <v>2</v>
      </c>
      <c r="AG100" s="87" t="s">
        <v>967</v>
      </c>
      <c r="AH100" s="82" t="b">
        <v>0</v>
      </c>
      <c r="AI100" s="82" t="s">
        <v>973</v>
      </c>
      <c r="AJ100" s="82"/>
      <c r="AK100" s="87" t="s">
        <v>957</v>
      </c>
      <c r="AL100" s="82" t="b">
        <v>0</v>
      </c>
      <c r="AM100" s="82">
        <v>0</v>
      </c>
      <c r="AN100" s="87" t="s">
        <v>957</v>
      </c>
      <c r="AO100" s="87" t="s">
        <v>976</v>
      </c>
      <c r="AP100" s="82" t="b">
        <v>0</v>
      </c>
      <c r="AQ100" s="87" t="s">
        <v>949</v>
      </c>
      <c r="AR100" s="82" t="s">
        <v>211</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3</v>
      </c>
      <c r="BF100" s="49">
        <v>0</v>
      </c>
      <c r="BG100" s="50">
        <v>0</v>
      </c>
      <c r="BH100" s="49">
        <v>0</v>
      </c>
      <c r="BI100" s="50">
        <v>0</v>
      </c>
      <c r="BJ100" s="49">
        <v>0</v>
      </c>
      <c r="BK100" s="50">
        <v>0</v>
      </c>
      <c r="BL100" s="49">
        <v>4</v>
      </c>
      <c r="BM100" s="50">
        <v>100</v>
      </c>
      <c r="BN100" s="49">
        <v>4</v>
      </c>
    </row>
    <row r="101" spans="1:66" ht="15">
      <c r="A101" s="66" t="s">
        <v>296</v>
      </c>
      <c r="B101" s="66" t="s">
        <v>322</v>
      </c>
      <c r="C101" s="67" t="s">
        <v>2139</v>
      </c>
      <c r="D101" s="68">
        <v>3</v>
      </c>
      <c r="E101" s="69" t="s">
        <v>132</v>
      </c>
      <c r="F101" s="70">
        <v>32</v>
      </c>
      <c r="G101" s="67"/>
      <c r="H101" s="71"/>
      <c r="I101" s="72"/>
      <c r="J101" s="72"/>
      <c r="K101" s="35" t="s">
        <v>65</v>
      </c>
      <c r="L101" s="80">
        <v>101</v>
      </c>
      <c r="M101" s="80"/>
      <c r="N101" s="74"/>
      <c r="O101" s="82" t="s">
        <v>331</v>
      </c>
      <c r="P101" s="84">
        <v>44730.97638888889</v>
      </c>
      <c r="Q101" s="82" t="s">
        <v>369</v>
      </c>
      <c r="R101" s="82"/>
      <c r="S101" s="82"/>
      <c r="T101" s="82"/>
      <c r="U101" s="82"/>
      <c r="V101" s="85" t="str">
        <f>HYPERLINK("https://pbs.twimg.com/profile_images/1527150889974349825/qnqPLQ2b_normal.jpg")</f>
        <v>https://pbs.twimg.com/profile_images/1527150889974349825/qnqPLQ2b_normal.jpg</v>
      </c>
      <c r="W101" s="84">
        <v>44730.97638888889</v>
      </c>
      <c r="X101" s="89">
        <v>44730</v>
      </c>
      <c r="Y101" s="87" t="s">
        <v>596</v>
      </c>
      <c r="Z101" s="85" t="str">
        <f>HYPERLINK("https://twitter.com/mennoknight/status/1538302038714552321")</f>
        <v>https://twitter.com/mennoknight/status/1538302038714552321</v>
      </c>
      <c r="AA101" s="82"/>
      <c r="AB101" s="82"/>
      <c r="AC101" s="87" t="s">
        <v>785</v>
      </c>
      <c r="AD101" s="87" t="s">
        <v>950</v>
      </c>
      <c r="AE101" s="82" t="b">
        <v>0</v>
      </c>
      <c r="AF101" s="82">
        <v>0</v>
      </c>
      <c r="AG101" s="87" t="s">
        <v>968</v>
      </c>
      <c r="AH101" s="82" t="b">
        <v>0</v>
      </c>
      <c r="AI101" s="82" t="s">
        <v>973</v>
      </c>
      <c r="AJ101" s="82"/>
      <c r="AK101" s="87" t="s">
        <v>957</v>
      </c>
      <c r="AL101" s="82" t="b">
        <v>0</v>
      </c>
      <c r="AM101" s="82">
        <v>0</v>
      </c>
      <c r="AN101" s="87" t="s">
        <v>957</v>
      </c>
      <c r="AO101" s="87" t="s">
        <v>976</v>
      </c>
      <c r="AP101" s="82" t="b">
        <v>0</v>
      </c>
      <c r="AQ101" s="87" t="s">
        <v>950</v>
      </c>
      <c r="AR101" s="82" t="s">
        <v>211</v>
      </c>
      <c r="AS101" s="82">
        <v>0</v>
      </c>
      <c r="AT101" s="82">
        <v>0</v>
      </c>
      <c r="AU101" s="82"/>
      <c r="AV101" s="82"/>
      <c r="AW101" s="82"/>
      <c r="AX101" s="82"/>
      <c r="AY101" s="82"/>
      <c r="AZ101" s="82"/>
      <c r="BA101" s="82"/>
      <c r="BB101" s="82"/>
      <c r="BC101">
        <v>1</v>
      </c>
      <c r="BD101" s="81" t="str">
        <f>REPLACE(INDEX(GroupVertices[Group],MATCH(Edges[[#This Row],[Vertex 1]],GroupVertices[Vertex],0)),1,1,"")</f>
        <v>4</v>
      </c>
      <c r="BE101" s="81" t="str">
        <f>REPLACE(INDEX(GroupVertices[Group],MATCH(Edges[[#This Row],[Vertex 2]],GroupVertices[Vertex],0)),1,1,"")</f>
        <v>4</v>
      </c>
      <c r="BF101" s="49"/>
      <c r="BG101" s="50"/>
      <c r="BH101" s="49"/>
      <c r="BI101" s="50"/>
      <c r="BJ101" s="49"/>
      <c r="BK101" s="50"/>
      <c r="BL101" s="49"/>
      <c r="BM101" s="50"/>
      <c r="BN101" s="49"/>
    </row>
    <row r="102" spans="1:66" ht="15">
      <c r="A102" s="66" t="s">
        <v>296</v>
      </c>
      <c r="B102" s="66" t="s">
        <v>323</v>
      </c>
      <c r="C102" s="67" t="s">
        <v>2139</v>
      </c>
      <c r="D102" s="68">
        <v>3</v>
      </c>
      <c r="E102" s="69" t="s">
        <v>132</v>
      </c>
      <c r="F102" s="70">
        <v>32</v>
      </c>
      <c r="G102" s="67"/>
      <c r="H102" s="71"/>
      <c r="I102" s="72"/>
      <c r="J102" s="72"/>
      <c r="K102" s="35" t="s">
        <v>65</v>
      </c>
      <c r="L102" s="80">
        <v>102</v>
      </c>
      <c r="M102" s="80"/>
      <c r="N102" s="74"/>
      <c r="O102" s="82" t="s">
        <v>331</v>
      </c>
      <c r="P102" s="84">
        <v>44730.97638888889</v>
      </c>
      <c r="Q102" s="82" t="s">
        <v>369</v>
      </c>
      <c r="R102" s="82"/>
      <c r="S102" s="82"/>
      <c r="T102" s="82"/>
      <c r="U102" s="82"/>
      <c r="V102" s="85" t="str">
        <f>HYPERLINK("https://pbs.twimg.com/profile_images/1527150889974349825/qnqPLQ2b_normal.jpg")</f>
        <v>https://pbs.twimg.com/profile_images/1527150889974349825/qnqPLQ2b_normal.jpg</v>
      </c>
      <c r="W102" s="84">
        <v>44730.97638888889</v>
      </c>
      <c r="X102" s="89">
        <v>44730</v>
      </c>
      <c r="Y102" s="87" t="s">
        <v>596</v>
      </c>
      <c r="Z102" s="85" t="str">
        <f>HYPERLINK("https://twitter.com/mennoknight/status/1538302038714552321")</f>
        <v>https://twitter.com/mennoknight/status/1538302038714552321</v>
      </c>
      <c r="AA102" s="82"/>
      <c r="AB102" s="82"/>
      <c r="AC102" s="87" t="s">
        <v>785</v>
      </c>
      <c r="AD102" s="87" t="s">
        <v>950</v>
      </c>
      <c r="AE102" s="82" t="b">
        <v>0</v>
      </c>
      <c r="AF102" s="82">
        <v>0</v>
      </c>
      <c r="AG102" s="87" t="s">
        <v>968</v>
      </c>
      <c r="AH102" s="82" t="b">
        <v>0</v>
      </c>
      <c r="AI102" s="82" t="s">
        <v>973</v>
      </c>
      <c r="AJ102" s="82"/>
      <c r="AK102" s="87" t="s">
        <v>957</v>
      </c>
      <c r="AL102" s="82" t="b">
        <v>0</v>
      </c>
      <c r="AM102" s="82">
        <v>0</v>
      </c>
      <c r="AN102" s="87" t="s">
        <v>957</v>
      </c>
      <c r="AO102" s="87" t="s">
        <v>976</v>
      </c>
      <c r="AP102" s="82" t="b">
        <v>0</v>
      </c>
      <c r="AQ102" s="87" t="s">
        <v>950</v>
      </c>
      <c r="AR102" s="82" t="s">
        <v>211</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6" t="s">
        <v>296</v>
      </c>
      <c r="B103" s="66" t="s">
        <v>324</v>
      </c>
      <c r="C103" s="67" t="s">
        <v>2139</v>
      </c>
      <c r="D103" s="68">
        <v>3</v>
      </c>
      <c r="E103" s="69" t="s">
        <v>132</v>
      </c>
      <c r="F103" s="70">
        <v>32</v>
      </c>
      <c r="G103" s="67"/>
      <c r="H103" s="71"/>
      <c r="I103" s="72"/>
      <c r="J103" s="72"/>
      <c r="K103" s="35" t="s">
        <v>65</v>
      </c>
      <c r="L103" s="80">
        <v>103</v>
      </c>
      <c r="M103" s="80"/>
      <c r="N103" s="74"/>
      <c r="O103" s="82" t="s">
        <v>331</v>
      </c>
      <c r="P103" s="84">
        <v>44730.97638888889</v>
      </c>
      <c r="Q103" s="82" t="s">
        <v>369</v>
      </c>
      <c r="R103" s="82"/>
      <c r="S103" s="82"/>
      <c r="T103" s="82"/>
      <c r="U103" s="82"/>
      <c r="V103" s="85" t="str">
        <f>HYPERLINK("https://pbs.twimg.com/profile_images/1527150889974349825/qnqPLQ2b_normal.jpg")</f>
        <v>https://pbs.twimg.com/profile_images/1527150889974349825/qnqPLQ2b_normal.jpg</v>
      </c>
      <c r="W103" s="84">
        <v>44730.97638888889</v>
      </c>
      <c r="X103" s="89">
        <v>44730</v>
      </c>
      <c r="Y103" s="87" t="s">
        <v>596</v>
      </c>
      <c r="Z103" s="85" t="str">
        <f>HYPERLINK("https://twitter.com/mennoknight/status/1538302038714552321")</f>
        <v>https://twitter.com/mennoknight/status/1538302038714552321</v>
      </c>
      <c r="AA103" s="82"/>
      <c r="AB103" s="82"/>
      <c r="AC103" s="87" t="s">
        <v>785</v>
      </c>
      <c r="AD103" s="87" t="s">
        <v>950</v>
      </c>
      <c r="AE103" s="82" t="b">
        <v>0</v>
      </c>
      <c r="AF103" s="82">
        <v>0</v>
      </c>
      <c r="AG103" s="87" t="s">
        <v>968</v>
      </c>
      <c r="AH103" s="82" t="b">
        <v>0</v>
      </c>
      <c r="AI103" s="82" t="s">
        <v>973</v>
      </c>
      <c r="AJ103" s="82"/>
      <c r="AK103" s="87" t="s">
        <v>957</v>
      </c>
      <c r="AL103" s="82" t="b">
        <v>0</v>
      </c>
      <c r="AM103" s="82">
        <v>0</v>
      </c>
      <c r="AN103" s="87" t="s">
        <v>957</v>
      </c>
      <c r="AO103" s="87" t="s">
        <v>976</v>
      </c>
      <c r="AP103" s="82" t="b">
        <v>0</v>
      </c>
      <c r="AQ103" s="87" t="s">
        <v>950</v>
      </c>
      <c r="AR103" s="82" t="s">
        <v>211</v>
      </c>
      <c r="AS103" s="82">
        <v>0</v>
      </c>
      <c r="AT103" s="82">
        <v>0</v>
      </c>
      <c r="AU103" s="82"/>
      <c r="AV103" s="82"/>
      <c r="AW103" s="82"/>
      <c r="AX103" s="82"/>
      <c r="AY103" s="82"/>
      <c r="AZ103" s="82"/>
      <c r="BA103" s="82"/>
      <c r="BB103" s="82"/>
      <c r="BC103">
        <v>1</v>
      </c>
      <c r="BD103" s="81" t="str">
        <f>REPLACE(INDEX(GroupVertices[Group],MATCH(Edges[[#This Row],[Vertex 1]],GroupVertices[Vertex],0)),1,1,"")</f>
        <v>4</v>
      </c>
      <c r="BE103" s="81" t="str">
        <f>REPLACE(INDEX(GroupVertices[Group],MATCH(Edges[[#This Row],[Vertex 2]],GroupVertices[Vertex],0)),1,1,"")</f>
        <v>4</v>
      </c>
      <c r="BF103" s="49"/>
      <c r="BG103" s="50"/>
      <c r="BH103" s="49"/>
      <c r="BI103" s="50"/>
      <c r="BJ103" s="49"/>
      <c r="BK103" s="50"/>
      <c r="BL103" s="49"/>
      <c r="BM103" s="50"/>
      <c r="BN103" s="49"/>
    </row>
    <row r="104" spans="1:66" ht="15">
      <c r="A104" s="66" t="s">
        <v>296</v>
      </c>
      <c r="B104" s="66" t="s">
        <v>325</v>
      </c>
      <c r="C104" s="67" t="s">
        <v>2139</v>
      </c>
      <c r="D104" s="68">
        <v>3</v>
      </c>
      <c r="E104" s="69" t="s">
        <v>132</v>
      </c>
      <c r="F104" s="70">
        <v>32</v>
      </c>
      <c r="G104" s="67"/>
      <c r="H104" s="71"/>
      <c r="I104" s="72"/>
      <c r="J104" s="72"/>
      <c r="K104" s="35" t="s">
        <v>65</v>
      </c>
      <c r="L104" s="80">
        <v>104</v>
      </c>
      <c r="M104" s="80"/>
      <c r="N104" s="74"/>
      <c r="O104" s="82" t="s">
        <v>332</v>
      </c>
      <c r="P104" s="84">
        <v>44730.97638888889</v>
      </c>
      <c r="Q104" s="82" t="s">
        <v>369</v>
      </c>
      <c r="R104" s="82"/>
      <c r="S104" s="82"/>
      <c r="T104" s="82"/>
      <c r="U104" s="82"/>
      <c r="V104" s="85" t="str">
        <f>HYPERLINK("https://pbs.twimg.com/profile_images/1527150889974349825/qnqPLQ2b_normal.jpg")</f>
        <v>https://pbs.twimg.com/profile_images/1527150889974349825/qnqPLQ2b_normal.jpg</v>
      </c>
      <c r="W104" s="84">
        <v>44730.97638888889</v>
      </c>
      <c r="X104" s="89">
        <v>44730</v>
      </c>
      <c r="Y104" s="87" t="s">
        <v>596</v>
      </c>
      <c r="Z104" s="85" t="str">
        <f>HYPERLINK("https://twitter.com/mennoknight/status/1538302038714552321")</f>
        <v>https://twitter.com/mennoknight/status/1538302038714552321</v>
      </c>
      <c r="AA104" s="82"/>
      <c r="AB104" s="82"/>
      <c r="AC104" s="87" t="s">
        <v>785</v>
      </c>
      <c r="AD104" s="87" t="s">
        <v>950</v>
      </c>
      <c r="AE104" s="82" t="b">
        <v>0</v>
      </c>
      <c r="AF104" s="82">
        <v>0</v>
      </c>
      <c r="AG104" s="87" t="s">
        <v>968</v>
      </c>
      <c r="AH104" s="82" t="b">
        <v>0</v>
      </c>
      <c r="AI104" s="82" t="s">
        <v>973</v>
      </c>
      <c r="AJ104" s="82"/>
      <c r="AK104" s="87" t="s">
        <v>957</v>
      </c>
      <c r="AL104" s="82" t="b">
        <v>0</v>
      </c>
      <c r="AM104" s="82">
        <v>0</v>
      </c>
      <c r="AN104" s="87" t="s">
        <v>957</v>
      </c>
      <c r="AO104" s="87" t="s">
        <v>976</v>
      </c>
      <c r="AP104" s="82" t="b">
        <v>0</v>
      </c>
      <c r="AQ104" s="87" t="s">
        <v>950</v>
      </c>
      <c r="AR104" s="82" t="s">
        <v>211</v>
      </c>
      <c r="AS104" s="82">
        <v>0</v>
      </c>
      <c r="AT104" s="82">
        <v>0</v>
      </c>
      <c r="AU104" s="82"/>
      <c r="AV104" s="82"/>
      <c r="AW104" s="82"/>
      <c r="AX104" s="82"/>
      <c r="AY104" s="82"/>
      <c r="AZ104" s="82"/>
      <c r="BA104" s="82"/>
      <c r="BB104" s="82"/>
      <c r="BC104">
        <v>1</v>
      </c>
      <c r="BD104" s="81" t="str">
        <f>REPLACE(INDEX(GroupVertices[Group],MATCH(Edges[[#This Row],[Vertex 1]],GroupVertices[Vertex],0)),1,1,"")</f>
        <v>4</v>
      </c>
      <c r="BE104" s="81" t="str">
        <f>REPLACE(INDEX(GroupVertices[Group],MATCH(Edges[[#This Row],[Vertex 2]],GroupVertices[Vertex],0)),1,1,"")</f>
        <v>4</v>
      </c>
      <c r="BF104" s="49">
        <v>1</v>
      </c>
      <c r="BG104" s="50">
        <v>2.857142857142857</v>
      </c>
      <c r="BH104" s="49">
        <v>0</v>
      </c>
      <c r="BI104" s="50">
        <v>0</v>
      </c>
      <c r="BJ104" s="49">
        <v>0</v>
      </c>
      <c r="BK104" s="50">
        <v>0</v>
      </c>
      <c r="BL104" s="49">
        <v>34</v>
      </c>
      <c r="BM104" s="50">
        <v>97.14285714285714</v>
      </c>
      <c r="BN104" s="49">
        <v>35</v>
      </c>
    </row>
    <row r="105" spans="1:66" ht="15">
      <c r="A105" s="66" t="s">
        <v>297</v>
      </c>
      <c r="B105" s="66" t="s">
        <v>321</v>
      </c>
      <c r="C105" s="67" t="s">
        <v>2139</v>
      </c>
      <c r="D105" s="68">
        <v>3</v>
      </c>
      <c r="E105" s="69" t="s">
        <v>132</v>
      </c>
      <c r="F105" s="70">
        <v>32</v>
      </c>
      <c r="G105" s="67"/>
      <c r="H105" s="71"/>
      <c r="I105" s="72"/>
      <c r="J105" s="72"/>
      <c r="K105" s="35" t="s">
        <v>65</v>
      </c>
      <c r="L105" s="80">
        <v>105</v>
      </c>
      <c r="M105" s="80"/>
      <c r="N105" s="74"/>
      <c r="O105" s="82" t="s">
        <v>332</v>
      </c>
      <c r="P105" s="84">
        <v>44731.010671296295</v>
      </c>
      <c r="Q105" s="82" t="s">
        <v>370</v>
      </c>
      <c r="R105" s="82"/>
      <c r="S105" s="82"/>
      <c r="T105" s="82"/>
      <c r="U105" s="82"/>
      <c r="V105" s="85" t="str">
        <f>HYPERLINK("https://pbs.twimg.com/profile_images/1315198508325122048/Sbg0SlGw_normal.jpg")</f>
        <v>https://pbs.twimg.com/profile_images/1315198508325122048/Sbg0SlGw_normal.jpg</v>
      </c>
      <c r="W105" s="84">
        <v>44731.010671296295</v>
      </c>
      <c r="X105" s="89">
        <v>44731</v>
      </c>
      <c r="Y105" s="87" t="s">
        <v>597</v>
      </c>
      <c r="Z105" s="85" t="str">
        <f>HYPERLINK("https://twitter.com/disgracelands9/status/1538314460254945281")</f>
        <v>https://twitter.com/disgracelands9/status/1538314460254945281</v>
      </c>
      <c r="AA105" s="82"/>
      <c r="AB105" s="82"/>
      <c r="AC105" s="87" t="s">
        <v>786</v>
      </c>
      <c r="AD105" s="87" t="s">
        <v>951</v>
      </c>
      <c r="AE105" s="82" t="b">
        <v>0</v>
      </c>
      <c r="AF105" s="82">
        <v>1</v>
      </c>
      <c r="AG105" s="87" t="s">
        <v>967</v>
      </c>
      <c r="AH105" s="82" t="b">
        <v>0</v>
      </c>
      <c r="AI105" s="82" t="s">
        <v>973</v>
      </c>
      <c r="AJ105" s="82"/>
      <c r="AK105" s="87" t="s">
        <v>957</v>
      </c>
      <c r="AL105" s="82" t="b">
        <v>0</v>
      </c>
      <c r="AM105" s="82">
        <v>0</v>
      </c>
      <c r="AN105" s="87" t="s">
        <v>957</v>
      </c>
      <c r="AO105" s="87" t="s">
        <v>978</v>
      </c>
      <c r="AP105" s="82" t="b">
        <v>0</v>
      </c>
      <c r="AQ105" s="87" t="s">
        <v>951</v>
      </c>
      <c r="AR105" s="82" t="s">
        <v>211</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0</v>
      </c>
      <c r="BG105" s="50">
        <v>0</v>
      </c>
      <c r="BH105" s="49">
        <v>0</v>
      </c>
      <c r="BI105" s="50">
        <v>0</v>
      </c>
      <c r="BJ105" s="49">
        <v>0</v>
      </c>
      <c r="BK105" s="50">
        <v>0</v>
      </c>
      <c r="BL105" s="49">
        <v>7</v>
      </c>
      <c r="BM105" s="50">
        <v>100</v>
      </c>
      <c r="BN105" s="49">
        <v>7</v>
      </c>
    </row>
    <row r="106" spans="1:66" ht="15">
      <c r="A106" s="66" t="s">
        <v>298</v>
      </c>
      <c r="B106" s="66" t="s">
        <v>326</v>
      </c>
      <c r="C106" s="67" t="s">
        <v>2139</v>
      </c>
      <c r="D106" s="68">
        <v>3</v>
      </c>
      <c r="E106" s="69" t="s">
        <v>132</v>
      </c>
      <c r="F106" s="70">
        <v>32</v>
      </c>
      <c r="G106" s="67"/>
      <c r="H106" s="71"/>
      <c r="I106" s="72"/>
      <c r="J106" s="72"/>
      <c r="K106" s="35" t="s">
        <v>65</v>
      </c>
      <c r="L106" s="80">
        <v>106</v>
      </c>
      <c r="M106" s="80"/>
      <c r="N106" s="74"/>
      <c r="O106" s="82" t="s">
        <v>332</v>
      </c>
      <c r="P106" s="84">
        <v>44731.01133101852</v>
      </c>
      <c r="Q106" s="82" t="s">
        <v>371</v>
      </c>
      <c r="R106" s="82"/>
      <c r="S106" s="82"/>
      <c r="T106" s="82"/>
      <c r="U106" s="82"/>
      <c r="V106" s="85" t="str">
        <f>HYPERLINK("https://pbs.twimg.com/profile_images/1462847719425335296/G1zYxigI_normal.jpg")</f>
        <v>https://pbs.twimg.com/profile_images/1462847719425335296/G1zYxigI_normal.jpg</v>
      </c>
      <c r="W106" s="84">
        <v>44731.01133101852</v>
      </c>
      <c r="X106" s="89">
        <v>44731</v>
      </c>
      <c r="Y106" s="87" t="s">
        <v>598</v>
      </c>
      <c r="Z106" s="85" t="str">
        <f>HYPERLINK("https://twitter.com/peanutpower4/status/1538314698550308864")</f>
        <v>https://twitter.com/peanutpower4/status/1538314698550308864</v>
      </c>
      <c r="AA106" s="82"/>
      <c r="AB106" s="82"/>
      <c r="AC106" s="87" t="s">
        <v>787</v>
      </c>
      <c r="AD106" s="87" t="s">
        <v>952</v>
      </c>
      <c r="AE106" s="82" t="b">
        <v>0</v>
      </c>
      <c r="AF106" s="82">
        <v>1</v>
      </c>
      <c r="AG106" s="87" t="s">
        <v>969</v>
      </c>
      <c r="AH106" s="82" t="b">
        <v>0</v>
      </c>
      <c r="AI106" s="82" t="s">
        <v>973</v>
      </c>
      <c r="AJ106" s="82"/>
      <c r="AK106" s="87" t="s">
        <v>957</v>
      </c>
      <c r="AL106" s="82" t="b">
        <v>0</v>
      </c>
      <c r="AM106" s="82">
        <v>0</v>
      </c>
      <c r="AN106" s="87" t="s">
        <v>957</v>
      </c>
      <c r="AO106" s="87" t="s">
        <v>978</v>
      </c>
      <c r="AP106" s="82" t="b">
        <v>0</v>
      </c>
      <c r="AQ106" s="87" t="s">
        <v>952</v>
      </c>
      <c r="AR106" s="82" t="s">
        <v>211</v>
      </c>
      <c r="AS106" s="82">
        <v>0</v>
      </c>
      <c r="AT106" s="82">
        <v>0</v>
      </c>
      <c r="AU106" s="82"/>
      <c r="AV106" s="82"/>
      <c r="AW106" s="82"/>
      <c r="AX106" s="82"/>
      <c r="AY106" s="82"/>
      <c r="AZ106" s="82"/>
      <c r="BA106" s="82"/>
      <c r="BB106" s="82"/>
      <c r="BC106">
        <v>1</v>
      </c>
      <c r="BD106" s="81" t="str">
        <f>REPLACE(INDEX(GroupVertices[Group],MATCH(Edges[[#This Row],[Vertex 1]],GroupVertices[Vertex],0)),1,1,"")</f>
        <v>13</v>
      </c>
      <c r="BE106" s="81" t="str">
        <f>REPLACE(INDEX(GroupVertices[Group],MATCH(Edges[[#This Row],[Vertex 2]],GroupVertices[Vertex],0)),1,1,"")</f>
        <v>13</v>
      </c>
      <c r="BF106" s="49">
        <v>2</v>
      </c>
      <c r="BG106" s="50">
        <v>4.444444444444445</v>
      </c>
      <c r="BH106" s="49">
        <v>0</v>
      </c>
      <c r="BI106" s="50">
        <v>0</v>
      </c>
      <c r="BJ106" s="49">
        <v>0</v>
      </c>
      <c r="BK106" s="50">
        <v>0</v>
      </c>
      <c r="BL106" s="49">
        <v>43</v>
      </c>
      <c r="BM106" s="50">
        <v>95.55555555555556</v>
      </c>
      <c r="BN106" s="49">
        <v>45</v>
      </c>
    </row>
    <row r="107" spans="1:66" ht="15">
      <c r="A107" s="66" t="s">
        <v>299</v>
      </c>
      <c r="B107" s="66" t="s">
        <v>299</v>
      </c>
      <c r="C107" s="67" t="s">
        <v>2139</v>
      </c>
      <c r="D107" s="68">
        <v>3</v>
      </c>
      <c r="E107" s="69" t="s">
        <v>132</v>
      </c>
      <c r="F107" s="70">
        <v>32</v>
      </c>
      <c r="G107" s="67"/>
      <c r="H107" s="71"/>
      <c r="I107" s="72"/>
      <c r="J107" s="72"/>
      <c r="K107" s="35" t="s">
        <v>65</v>
      </c>
      <c r="L107" s="80">
        <v>107</v>
      </c>
      <c r="M107" s="80"/>
      <c r="N107" s="74"/>
      <c r="O107" s="82" t="s">
        <v>211</v>
      </c>
      <c r="P107" s="84">
        <v>44730.84793981481</v>
      </c>
      <c r="Q107" s="82" t="s">
        <v>367</v>
      </c>
      <c r="R107" s="82"/>
      <c r="S107" s="82"/>
      <c r="T107" s="82"/>
      <c r="U107" s="85" t="str">
        <f>HYPERLINK("https://pbs.twimg.com/media/FVj7MrJXEAAFBD2.jpg")</f>
        <v>https://pbs.twimg.com/media/FVj7MrJXEAAFBD2.jpg</v>
      </c>
      <c r="V107" s="85" t="str">
        <f>HYPERLINK("https://pbs.twimg.com/media/FVj7MrJXEAAFBD2.jpg")</f>
        <v>https://pbs.twimg.com/media/FVj7MrJXEAAFBD2.jpg</v>
      </c>
      <c r="W107" s="84">
        <v>44730.84793981481</v>
      </c>
      <c r="X107" s="89">
        <v>44730</v>
      </c>
      <c r="Y107" s="87" t="s">
        <v>599</v>
      </c>
      <c r="Z107" s="85" t="str">
        <f>HYPERLINK("https://twitter.com/heghoulian/status/1538255486696431616")</f>
        <v>https://twitter.com/heghoulian/status/1538255486696431616</v>
      </c>
      <c r="AA107" s="82"/>
      <c r="AB107" s="82"/>
      <c r="AC107" s="87" t="s">
        <v>788</v>
      </c>
      <c r="AD107" s="87" t="s">
        <v>953</v>
      </c>
      <c r="AE107" s="82" t="b">
        <v>0</v>
      </c>
      <c r="AF107" s="82">
        <v>15</v>
      </c>
      <c r="AG107" s="87" t="s">
        <v>970</v>
      </c>
      <c r="AH107" s="82" t="b">
        <v>0</v>
      </c>
      <c r="AI107" s="82" t="s">
        <v>973</v>
      </c>
      <c r="AJ107" s="82"/>
      <c r="AK107" s="87" t="s">
        <v>957</v>
      </c>
      <c r="AL107" s="82" t="b">
        <v>0</v>
      </c>
      <c r="AM107" s="82">
        <v>3</v>
      </c>
      <c r="AN107" s="87" t="s">
        <v>957</v>
      </c>
      <c r="AO107" s="87" t="s">
        <v>984</v>
      </c>
      <c r="AP107" s="82" t="b">
        <v>0</v>
      </c>
      <c r="AQ107" s="87" t="s">
        <v>953</v>
      </c>
      <c r="AR107" s="82" t="s">
        <v>211</v>
      </c>
      <c r="AS107" s="82">
        <v>0</v>
      </c>
      <c r="AT107" s="82">
        <v>0</v>
      </c>
      <c r="AU107" s="82"/>
      <c r="AV107" s="82"/>
      <c r="AW107" s="82"/>
      <c r="AX107" s="82"/>
      <c r="AY107" s="82"/>
      <c r="AZ107" s="82"/>
      <c r="BA107" s="82"/>
      <c r="BB107" s="82"/>
      <c r="BC107">
        <v>1</v>
      </c>
      <c r="BD107" s="81" t="str">
        <f>REPLACE(INDEX(GroupVertices[Group],MATCH(Edges[[#This Row],[Vertex 1]],GroupVertices[Vertex],0)),1,1,"")</f>
        <v>9</v>
      </c>
      <c r="BE107" s="81" t="str">
        <f>REPLACE(INDEX(GroupVertices[Group],MATCH(Edges[[#This Row],[Vertex 2]],GroupVertices[Vertex],0)),1,1,"")</f>
        <v>9</v>
      </c>
      <c r="BF107" s="49">
        <v>3</v>
      </c>
      <c r="BG107" s="50">
        <v>10.714285714285714</v>
      </c>
      <c r="BH107" s="49">
        <v>1</v>
      </c>
      <c r="BI107" s="50">
        <v>3.5714285714285716</v>
      </c>
      <c r="BJ107" s="49">
        <v>0</v>
      </c>
      <c r="BK107" s="50">
        <v>0</v>
      </c>
      <c r="BL107" s="49">
        <v>24</v>
      </c>
      <c r="BM107" s="50">
        <v>85.71428571428571</v>
      </c>
      <c r="BN107" s="49">
        <v>28</v>
      </c>
    </row>
    <row r="108" spans="1:66" ht="15">
      <c r="A108" s="66" t="s">
        <v>300</v>
      </c>
      <c r="B108" s="66" t="s">
        <v>299</v>
      </c>
      <c r="C108" s="67" t="s">
        <v>2139</v>
      </c>
      <c r="D108" s="68">
        <v>3</v>
      </c>
      <c r="E108" s="69" t="s">
        <v>132</v>
      </c>
      <c r="F108" s="70">
        <v>32</v>
      </c>
      <c r="G108" s="67"/>
      <c r="H108" s="71"/>
      <c r="I108" s="72"/>
      <c r="J108" s="72"/>
      <c r="K108" s="35" t="s">
        <v>65</v>
      </c>
      <c r="L108" s="80">
        <v>108</v>
      </c>
      <c r="M108" s="80"/>
      <c r="N108" s="74"/>
      <c r="O108" s="82" t="s">
        <v>330</v>
      </c>
      <c r="P108" s="84">
        <v>44731.085856481484</v>
      </c>
      <c r="Q108" s="82" t="s">
        <v>367</v>
      </c>
      <c r="R108" s="82"/>
      <c r="S108" s="82"/>
      <c r="T108" s="82"/>
      <c r="U108" s="85" t="str">
        <f>HYPERLINK("https://pbs.twimg.com/media/FVj7MrJXEAAFBD2.jpg")</f>
        <v>https://pbs.twimg.com/media/FVj7MrJXEAAFBD2.jpg</v>
      </c>
      <c r="V108" s="85" t="str">
        <f>HYPERLINK("https://pbs.twimg.com/media/FVj7MrJXEAAFBD2.jpg")</f>
        <v>https://pbs.twimg.com/media/FVj7MrJXEAAFBD2.jpg</v>
      </c>
      <c r="W108" s="84">
        <v>44731.085856481484</v>
      </c>
      <c r="X108" s="89">
        <v>44731</v>
      </c>
      <c r="Y108" s="87" t="s">
        <v>600</v>
      </c>
      <c r="Z108" s="85" t="str">
        <f>HYPERLINK("https://twitter.com/cartrell_payne/status/1538341705489031169")</f>
        <v>https://twitter.com/cartrell_payne/status/1538341705489031169</v>
      </c>
      <c r="AA108" s="82"/>
      <c r="AB108" s="82"/>
      <c r="AC108" s="87" t="s">
        <v>789</v>
      </c>
      <c r="AD108" s="82"/>
      <c r="AE108" s="82" t="b">
        <v>0</v>
      </c>
      <c r="AF108" s="82">
        <v>0</v>
      </c>
      <c r="AG108" s="87" t="s">
        <v>957</v>
      </c>
      <c r="AH108" s="82" t="b">
        <v>0</v>
      </c>
      <c r="AI108" s="82" t="s">
        <v>973</v>
      </c>
      <c r="AJ108" s="82"/>
      <c r="AK108" s="87" t="s">
        <v>957</v>
      </c>
      <c r="AL108" s="82" t="b">
        <v>0</v>
      </c>
      <c r="AM108" s="82">
        <v>3</v>
      </c>
      <c r="AN108" s="87" t="s">
        <v>788</v>
      </c>
      <c r="AO108" s="87" t="s">
        <v>978</v>
      </c>
      <c r="AP108" s="82" t="b">
        <v>0</v>
      </c>
      <c r="AQ108" s="87" t="s">
        <v>788</v>
      </c>
      <c r="AR108" s="82" t="s">
        <v>211</v>
      </c>
      <c r="AS108" s="82">
        <v>0</v>
      </c>
      <c r="AT108" s="82">
        <v>0</v>
      </c>
      <c r="AU108" s="82"/>
      <c r="AV108" s="82"/>
      <c r="AW108" s="82"/>
      <c r="AX108" s="82"/>
      <c r="AY108" s="82"/>
      <c r="AZ108" s="82"/>
      <c r="BA108" s="82"/>
      <c r="BB108" s="82"/>
      <c r="BC108">
        <v>1</v>
      </c>
      <c r="BD108" s="81" t="str">
        <f>REPLACE(INDEX(GroupVertices[Group],MATCH(Edges[[#This Row],[Vertex 1]],GroupVertices[Vertex],0)),1,1,"")</f>
        <v>9</v>
      </c>
      <c r="BE108" s="81" t="str">
        <f>REPLACE(INDEX(GroupVertices[Group],MATCH(Edges[[#This Row],[Vertex 2]],GroupVertices[Vertex],0)),1,1,"")</f>
        <v>9</v>
      </c>
      <c r="BF108" s="49">
        <v>3</v>
      </c>
      <c r="BG108" s="50">
        <v>10.714285714285714</v>
      </c>
      <c r="BH108" s="49">
        <v>1</v>
      </c>
      <c r="BI108" s="50">
        <v>3.5714285714285716</v>
      </c>
      <c r="BJ108" s="49">
        <v>0</v>
      </c>
      <c r="BK108" s="50">
        <v>0</v>
      </c>
      <c r="BL108" s="49">
        <v>24</v>
      </c>
      <c r="BM108" s="50">
        <v>85.71428571428571</v>
      </c>
      <c r="BN108" s="49">
        <v>28</v>
      </c>
    </row>
    <row r="109" spans="1:66" ht="15">
      <c r="A109" s="66" t="s">
        <v>301</v>
      </c>
      <c r="B109" s="66" t="s">
        <v>327</v>
      </c>
      <c r="C109" s="67" t="s">
        <v>2139</v>
      </c>
      <c r="D109" s="68">
        <v>3</v>
      </c>
      <c r="E109" s="69" t="s">
        <v>132</v>
      </c>
      <c r="F109" s="70">
        <v>32</v>
      </c>
      <c r="G109" s="67"/>
      <c r="H109" s="71"/>
      <c r="I109" s="72"/>
      <c r="J109" s="72"/>
      <c r="K109" s="35" t="s">
        <v>65</v>
      </c>
      <c r="L109" s="80">
        <v>109</v>
      </c>
      <c r="M109" s="80"/>
      <c r="N109" s="74"/>
      <c r="O109" s="82" t="s">
        <v>332</v>
      </c>
      <c r="P109" s="84">
        <v>44731.238333333335</v>
      </c>
      <c r="Q109" s="82" t="s">
        <v>372</v>
      </c>
      <c r="R109" s="82"/>
      <c r="S109" s="82"/>
      <c r="T109" s="82"/>
      <c r="U109" s="82"/>
      <c r="V109" s="85" t="str">
        <f>HYPERLINK("https://pbs.twimg.com/profile_images/1538050811741208577/pc_pzx2w_normal.jpg")</f>
        <v>https://pbs.twimg.com/profile_images/1538050811741208577/pc_pzx2w_normal.jpg</v>
      </c>
      <c r="W109" s="84">
        <v>44731.238333333335</v>
      </c>
      <c r="X109" s="89">
        <v>44731</v>
      </c>
      <c r="Y109" s="87" t="s">
        <v>601</v>
      </c>
      <c r="Z109" s="85" t="str">
        <f>HYPERLINK("https://twitter.com/vec0zy/status/1538396962097176576")</f>
        <v>https://twitter.com/vec0zy/status/1538396962097176576</v>
      </c>
      <c r="AA109" s="82"/>
      <c r="AB109" s="82"/>
      <c r="AC109" s="87" t="s">
        <v>790</v>
      </c>
      <c r="AD109" s="87" t="s">
        <v>954</v>
      </c>
      <c r="AE109" s="82" t="b">
        <v>0</v>
      </c>
      <c r="AF109" s="82">
        <v>8</v>
      </c>
      <c r="AG109" s="87" t="s">
        <v>971</v>
      </c>
      <c r="AH109" s="82" t="b">
        <v>0</v>
      </c>
      <c r="AI109" s="82" t="s">
        <v>973</v>
      </c>
      <c r="AJ109" s="82"/>
      <c r="AK109" s="87" t="s">
        <v>957</v>
      </c>
      <c r="AL109" s="82" t="b">
        <v>0</v>
      </c>
      <c r="AM109" s="82">
        <v>0</v>
      </c>
      <c r="AN109" s="87" t="s">
        <v>957</v>
      </c>
      <c r="AO109" s="87" t="s">
        <v>977</v>
      </c>
      <c r="AP109" s="82" t="b">
        <v>0</v>
      </c>
      <c r="AQ109" s="87" t="s">
        <v>954</v>
      </c>
      <c r="AR109" s="82" t="s">
        <v>211</v>
      </c>
      <c r="AS109" s="82">
        <v>0</v>
      </c>
      <c r="AT109" s="82">
        <v>0</v>
      </c>
      <c r="AU109" s="82"/>
      <c r="AV109" s="82"/>
      <c r="AW109" s="82"/>
      <c r="AX109" s="82"/>
      <c r="AY109" s="82"/>
      <c r="AZ109" s="82"/>
      <c r="BA109" s="82"/>
      <c r="BB109" s="82"/>
      <c r="BC109">
        <v>1</v>
      </c>
      <c r="BD109" s="81" t="str">
        <f>REPLACE(INDEX(GroupVertices[Group],MATCH(Edges[[#This Row],[Vertex 1]],GroupVertices[Vertex],0)),1,1,"")</f>
        <v>12</v>
      </c>
      <c r="BE109" s="81" t="str">
        <f>REPLACE(INDEX(GroupVertices[Group],MATCH(Edges[[#This Row],[Vertex 2]],GroupVertices[Vertex],0)),1,1,"")</f>
        <v>12</v>
      </c>
      <c r="BF109" s="49">
        <v>0</v>
      </c>
      <c r="BG109" s="50">
        <v>0</v>
      </c>
      <c r="BH109" s="49">
        <v>0</v>
      </c>
      <c r="BI109" s="50">
        <v>0</v>
      </c>
      <c r="BJ109" s="49">
        <v>0</v>
      </c>
      <c r="BK109" s="50">
        <v>0</v>
      </c>
      <c r="BL109" s="49">
        <v>4</v>
      </c>
      <c r="BM109" s="50">
        <v>100</v>
      </c>
      <c r="BN109" s="49">
        <v>4</v>
      </c>
    </row>
    <row r="110" spans="1:66" ht="15">
      <c r="A110" s="66" t="s">
        <v>302</v>
      </c>
      <c r="B110" s="66" t="s">
        <v>328</v>
      </c>
      <c r="C110" s="67" t="s">
        <v>2139</v>
      </c>
      <c r="D110" s="68">
        <v>3</v>
      </c>
      <c r="E110" s="69" t="s">
        <v>136</v>
      </c>
      <c r="F110" s="70">
        <v>31.81560283687943</v>
      </c>
      <c r="G110" s="67"/>
      <c r="H110" s="71"/>
      <c r="I110" s="72"/>
      <c r="J110" s="72"/>
      <c r="K110" s="35" t="s">
        <v>65</v>
      </c>
      <c r="L110" s="80">
        <v>110</v>
      </c>
      <c r="M110" s="80"/>
      <c r="N110" s="74"/>
      <c r="O110" s="82" t="s">
        <v>331</v>
      </c>
      <c r="P110" s="84">
        <v>44730.90453703704</v>
      </c>
      <c r="Q110" s="82" t="s">
        <v>373</v>
      </c>
      <c r="R110" s="82"/>
      <c r="S110" s="82"/>
      <c r="T110" s="82"/>
      <c r="U110" s="82"/>
      <c r="V110" s="85" t="str">
        <f>HYPERLINK("https://pbs.twimg.com/profile_images/1450909106995355650/sNcLhBm4_normal.jpg")</f>
        <v>https://pbs.twimg.com/profile_images/1450909106995355650/sNcLhBm4_normal.jpg</v>
      </c>
      <c r="W110" s="84">
        <v>44730.90453703704</v>
      </c>
      <c r="X110" s="89">
        <v>44730</v>
      </c>
      <c r="Y110" s="87" t="s">
        <v>602</v>
      </c>
      <c r="Z110" s="85" t="str">
        <f>HYPERLINK("https://twitter.com/thevinylslap/status/1538275996700385287")</f>
        <v>https://twitter.com/thevinylslap/status/1538275996700385287</v>
      </c>
      <c r="AA110" s="82"/>
      <c r="AB110" s="82"/>
      <c r="AC110" s="87" t="s">
        <v>791</v>
      </c>
      <c r="AD110" s="87" t="s">
        <v>955</v>
      </c>
      <c r="AE110" s="82" t="b">
        <v>0</v>
      </c>
      <c r="AF110" s="82">
        <v>3</v>
      </c>
      <c r="AG110" s="87" t="s">
        <v>972</v>
      </c>
      <c r="AH110" s="82" t="b">
        <v>0</v>
      </c>
      <c r="AI110" s="82" t="s">
        <v>973</v>
      </c>
      <c r="AJ110" s="82"/>
      <c r="AK110" s="87" t="s">
        <v>957</v>
      </c>
      <c r="AL110" s="82" t="b">
        <v>0</v>
      </c>
      <c r="AM110" s="82">
        <v>0</v>
      </c>
      <c r="AN110" s="87" t="s">
        <v>957</v>
      </c>
      <c r="AO110" s="87" t="s">
        <v>977</v>
      </c>
      <c r="AP110" s="82" t="b">
        <v>0</v>
      </c>
      <c r="AQ110" s="87" t="s">
        <v>955</v>
      </c>
      <c r="AR110" s="82" t="s">
        <v>211</v>
      </c>
      <c r="AS110" s="82">
        <v>0</v>
      </c>
      <c r="AT110" s="82">
        <v>0</v>
      </c>
      <c r="AU110" s="82"/>
      <c r="AV110" s="82"/>
      <c r="AW110" s="82"/>
      <c r="AX110" s="82"/>
      <c r="AY110" s="82"/>
      <c r="AZ110" s="82"/>
      <c r="BA110" s="82"/>
      <c r="BB110" s="82"/>
      <c r="BC110">
        <v>2</v>
      </c>
      <c r="BD110" s="81" t="str">
        <f>REPLACE(INDEX(GroupVertices[Group],MATCH(Edges[[#This Row],[Vertex 1]],GroupVertices[Vertex],0)),1,1,"")</f>
        <v>3</v>
      </c>
      <c r="BE110" s="81" t="str">
        <f>REPLACE(INDEX(GroupVertices[Group],MATCH(Edges[[#This Row],[Vertex 2]],GroupVertices[Vertex],0)),1,1,"")</f>
        <v>3</v>
      </c>
      <c r="BF110" s="49">
        <v>0</v>
      </c>
      <c r="BG110" s="50">
        <v>0</v>
      </c>
      <c r="BH110" s="49">
        <v>0</v>
      </c>
      <c r="BI110" s="50">
        <v>0</v>
      </c>
      <c r="BJ110" s="49">
        <v>0</v>
      </c>
      <c r="BK110" s="50">
        <v>0</v>
      </c>
      <c r="BL110" s="49">
        <v>12</v>
      </c>
      <c r="BM110" s="50">
        <v>100</v>
      </c>
      <c r="BN110" s="49">
        <v>12</v>
      </c>
    </row>
    <row r="111" spans="1:66" ht="15">
      <c r="A111" s="66" t="s">
        <v>302</v>
      </c>
      <c r="B111" s="66" t="s">
        <v>328</v>
      </c>
      <c r="C111" s="67" t="s">
        <v>2139</v>
      </c>
      <c r="D111" s="68">
        <v>3</v>
      </c>
      <c r="E111" s="69" t="s">
        <v>136</v>
      </c>
      <c r="F111" s="70">
        <v>31.81560283687943</v>
      </c>
      <c r="G111" s="67"/>
      <c r="H111" s="71"/>
      <c r="I111" s="72"/>
      <c r="J111" s="72"/>
      <c r="K111" s="35" t="s">
        <v>65</v>
      </c>
      <c r="L111" s="80">
        <v>111</v>
      </c>
      <c r="M111" s="80"/>
      <c r="N111" s="74"/>
      <c r="O111" s="82" t="s">
        <v>331</v>
      </c>
      <c r="P111" s="84">
        <v>44731.33804398148</v>
      </c>
      <c r="Q111" s="82" t="s">
        <v>374</v>
      </c>
      <c r="R111" s="82"/>
      <c r="S111" s="82"/>
      <c r="T111" s="82"/>
      <c r="U111" s="82"/>
      <c r="V111" s="85" t="str">
        <f>HYPERLINK("https://pbs.twimg.com/profile_images/1450909106995355650/sNcLhBm4_normal.jpg")</f>
        <v>https://pbs.twimg.com/profile_images/1450909106995355650/sNcLhBm4_normal.jpg</v>
      </c>
      <c r="W111" s="84">
        <v>44731.33804398148</v>
      </c>
      <c r="X111" s="89">
        <v>44731</v>
      </c>
      <c r="Y111" s="87" t="s">
        <v>603</v>
      </c>
      <c r="Z111" s="85" t="str">
        <f>HYPERLINK("https://twitter.com/thevinylslap/status/1538433096919523328")</f>
        <v>https://twitter.com/thevinylslap/status/1538433096919523328</v>
      </c>
      <c r="AA111" s="82"/>
      <c r="AB111" s="82"/>
      <c r="AC111" s="87" t="s">
        <v>792</v>
      </c>
      <c r="AD111" s="87" t="s">
        <v>956</v>
      </c>
      <c r="AE111" s="82" t="b">
        <v>0</v>
      </c>
      <c r="AF111" s="82">
        <v>2</v>
      </c>
      <c r="AG111" s="87" t="s">
        <v>967</v>
      </c>
      <c r="AH111" s="82" t="b">
        <v>0</v>
      </c>
      <c r="AI111" s="82" t="s">
        <v>973</v>
      </c>
      <c r="AJ111" s="82"/>
      <c r="AK111" s="87" t="s">
        <v>957</v>
      </c>
      <c r="AL111" s="82" t="b">
        <v>0</v>
      </c>
      <c r="AM111" s="82">
        <v>0</v>
      </c>
      <c r="AN111" s="87" t="s">
        <v>957</v>
      </c>
      <c r="AO111" s="87" t="s">
        <v>977</v>
      </c>
      <c r="AP111" s="82" t="b">
        <v>0</v>
      </c>
      <c r="AQ111" s="87" t="s">
        <v>956</v>
      </c>
      <c r="AR111" s="82" t="s">
        <v>211</v>
      </c>
      <c r="AS111" s="82">
        <v>0</v>
      </c>
      <c r="AT111" s="82">
        <v>0</v>
      </c>
      <c r="AU111" s="82"/>
      <c r="AV111" s="82"/>
      <c r="AW111" s="82"/>
      <c r="AX111" s="82"/>
      <c r="AY111" s="82"/>
      <c r="AZ111" s="82"/>
      <c r="BA111" s="82"/>
      <c r="BB111" s="82"/>
      <c r="BC111">
        <v>2</v>
      </c>
      <c r="BD111" s="81" t="str">
        <f>REPLACE(INDEX(GroupVertices[Group],MATCH(Edges[[#This Row],[Vertex 1]],GroupVertices[Vertex],0)),1,1,"")</f>
        <v>3</v>
      </c>
      <c r="BE111" s="81" t="str">
        <f>REPLACE(INDEX(GroupVertices[Group],MATCH(Edges[[#This Row],[Vertex 2]],GroupVertices[Vertex],0)),1,1,"")</f>
        <v>3</v>
      </c>
      <c r="BF111" s="49">
        <v>0</v>
      </c>
      <c r="BG111" s="50">
        <v>0</v>
      </c>
      <c r="BH111" s="49">
        <v>0</v>
      </c>
      <c r="BI111" s="50">
        <v>0</v>
      </c>
      <c r="BJ111" s="49">
        <v>0</v>
      </c>
      <c r="BK111" s="50">
        <v>0</v>
      </c>
      <c r="BL111" s="49">
        <v>21</v>
      </c>
      <c r="BM111" s="50">
        <v>100</v>
      </c>
      <c r="BN111" s="49">
        <v>21</v>
      </c>
    </row>
    <row r="112" spans="1:66" ht="15">
      <c r="A112" s="66" t="s">
        <v>302</v>
      </c>
      <c r="B112" s="66" t="s">
        <v>320</v>
      </c>
      <c r="C112" s="67" t="s">
        <v>2139</v>
      </c>
      <c r="D112" s="68">
        <v>3</v>
      </c>
      <c r="E112" s="69" t="s">
        <v>132</v>
      </c>
      <c r="F112" s="70">
        <v>32</v>
      </c>
      <c r="G112" s="67"/>
      <c r="H112" s="71"/>
      <c r="I112" s="72"/>
      <c r="J112" s="72"/>
      <c r="K112" s="35" t="s">
        <v>65</v>
      </c>
      <c r="L112" s="80">
        <v>112</v>
      </c>
      <c r="M112" s="80"/>
      <c r="N112" s="74"/>
      <c r="O112" s="82" t="s">
        <v>332</v>
      </c>
      <c r="P112" s="84">
        <v>44730.90453703704</v>
      </c>
      <c r="Q112" s="82" t="s">
        <v>373</v>
      </c>
      <c r="R112" s="82"/>
      <c r="S112" s="82"/>
      <c r="T112" s="82"/>
      <c r="U112" s="82"/>
      <c r="V112" s="85" t="str">
        <f>HYPERLINK("https://pbs.twimg.com/profile_images/1450909106995355650/sNcLhBm4_normal.jpg")</f>
        <v>https://pbs.twimg.com/profile_images/1450909106995355650/sNcLhBm4_normal.jpg</v>
      </c>
      <c r="W112" s="84">
        <v>44730.90453703704</v>
      </c>
      <c r="X112" s="89">
        <v>44730</v>
      </c>
      <c r="Y112" s="87" t="s">
        <v>602</v>
      </c>
      <c r="Z112" s="85" t="str">
        <f>HYPERLINK("https://twitter.com/thevinylslap/status/1538275996700385287")</f>
        <v>https://twitter.com/thevinylslap/status/1538275996700385287</v>
      </c>
      <c r="AA112" s="82"/>
      <c r="AB112" s="82"/>
      <c r="AC112" s="87" t="s">
        <v>791</v>
      </c>
      <c r="AD112" s="87" t="s">
        <v>955</v>
      </c>
      <c r="AE112" s="82" t="b">
        <v>0</v>
      </c>
      <c r="AF112" s="82">
        <v>3</v>
      </c>
      <c r="AG112" s="87" t="s">
        <v>972</v>
      </c>
      <c r="AH112" s="82" t="b">
        <v>0</v>
      </c>
      <c r="AI112" s="82" t="s">
        <v>973</v>
      </c>
      <c r="AJ112" s="82"/>
      <c r="AK112" s="87" t="s">
        <v>957</v>
      </c>
      <c r="AL112" s="82" t="b">
        <v>0</v>
      </c>
      <c r="AM112" s="82">
        <v>0</v>
      </c>
      <c r="AN112" s="87" t="s">
        <v>957</v>
      </c>
      <c r="AO112" s="87" t="s">
        <v>977</v>
      </c>
      <c r="AP112" s="82" t="b">
        <v>0</v>
      </c>
      <c r="AQ112" s="87" t="s">
        <v>955</v>
      </c>
      <c r="AR112" s="82" t="s">
        <v>211</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6" t="s">
        <v>302</v>
      </c>
      <c r="B113" s="66" t="s">
        <v>320</v>
      </c>
      <c r="C113" s="67" t="s">
        <v>2139</v>
      </c>
      <c r="D113" s="68">
        <v>3</v>
      </c>
      <c r="E113" s="69" t="s">
        <v>132</v>
      </c>
      <c r="F113" s="70">
        <v>32</v>
      </c>
      <c r="G113" s="67"/>
      <c r="H113" s="71"/>
      <c r="I113" s="72"/>
      <c r="J113" s="72"/>
      <c r="K113" s="35" t="s">
        <v>65</v>
      </c>
      <c r="L113" s="80">
        <v>113</v>
      </c>
      <c r="M113" s="80"/>
      <c r="N113" s="74"/>
      <c r="O113" s="82" t="s">
        <v>331</v>
      </c>
      <c r="P113" s="84">
        <v>44731.33804398148</v>
      </c>
      <c r="Q113" s="82" t="s">
        <v>374</v>
      </c>
      <c r="R113" s="82"/>
      <c r="S113" s="82"/>
      <c r="T113" s="82"/>
      <c r="U113" s="82"/>
      <c r="V113" s="85" t="str">
        <f>HYPERLINK("https://pbs.twimg.com/profile_images/1450909106995355650/sNcLhBm4_normal.jpg")</f>
        <v>https://pbs.twimg.com/profile_images/1450909106995355650/sNcLhBm4_normal.jpg</v>
      </c>
      <c r="W113" s="84">
        <v>44731.33804398148</v>
      </c>
      <c r="X113" s="89">
        <v>44731</v>
      </c>
      <c r="Y113" s="87" t="s">
        <v>603</v>
      </c>
      <c r="Z113" s="85" t="str">
        <f>HYPERLINK("https://twitter.com/thevinylslap/status/1538433096919523328")</f>
        <v>https://twitter.com/thevinylslap/status/1538433096919523328</v>
      </c>
      <c r="AA113" s="82"/>
      <c r="AB113" s="82"/>
      <c r="AC113" s="87" t="s">
        <v>792</v>
      </c>
      <c r="AD113" s="87" t="s">
        <v>956</v>
      </c>
      <c r="AE113" s="82" t="b">
        <v>0</v>
      </c>
      <c r="AF113" s="82">
        <v>2</v>
      </c>
      <c r="AG113" s="87" t="s">
        <v>967</v>
      </c>
      <c r="AH113" s="82" t="b">
        <v>0</v>
      </c>
      <c r="AI113" s="82" t="s">
        <v>973</v>
      </c>
      <c r="AJ113" s="82"/>
      <c r="AK113" s="87" t="s">
        <v>957</v>
      </c>
      <c r="AL113" s="82" t="b">
        <v>0</v>
      </c>
      <c r="AM113" s="82">
        <v>0</v>
      </c>
      <c r="AN113" s="87" t="s">
        <v>957</v>
      </c>
      <c r="AO113" s="87" t="s">
        <v>977</v>
      </c>
      <c r="AP113" s="82" t="b">
        <v>0</v>
      </c>
      <c r="AQ113" s="87" t="s">
        <v>956</v>
      </c>
      <c r="AR113" s="82" t="s">
        <v>211</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6" t="s">
        <v>302</v>
      </c>
      <c r="B114" s="66" t="s">
        <v>321</v>
      </c>
      <c r="C114" s="67" t="s">
        <v>2139</v>
      </c>
      <c r="D114" s="68">
        <v>3</v>
      </c>
      <c r="E114" s="69" t="s">
        <v>132</v>
      </c>
      <c r="F114" s="70">
        <v>32</v>
      </c>
      <c r="G114" s="67"/>
      <c r="H114" s="71"/>
      <c r="I114" s="72"/>
      <c r="J114" s="72"/>
      <c r="K114" s="35" t="s">
        <v>65</v>
      </c>
      <c r="L114" s="80">
        <v>114</v>
      </c>
      <c r="M114" s="80"/>
      <c r="N114" s="74"/>
      <c r="O114" s="82" t="s">
        <v>331</v>
      </c>
      <c r="P114" s="84">
        <v>44730.90453703704</v>
      </c>
      <c r="Q114" s="82" t="s">
        <v>373</v>
      </c>
      <c r="R114" s="82"/>
      <c r="S114" s="82"/>
      <c r="T114" s="82"/>
      <c r="U114" s="82"/>
      <c r="V114" s="85" t="str">
        <f>HYPERLINK("https://pbs.twimg.com/profile_images/1450909106995355650/sNcLhBm4_normal.jpg")</f>
        <v>https://pbs.twimg.com/profile_images/1450909106995355650/sNcLhBm4_normal.jpg</v>
      </c>
      <c r="W114" s="84">
        <v>44730.90453703704</v>
      </c>
      <c r="X114" s="89">
        <v>44730</v>
      </c>
      <c r="Y114" s="87" t="s">
        <v>602</v>
      </c>
      <c r="Z114" s="85" t="str">
        <f>HYPERLINK("https://twitter.com/thevinylslap/status/1538275996700385287")</f>
        <v>https://twitter.com/thevinylslap/status/1538275996700385287</v>
      </c>
      <c r="AA114" s="82"/>
      <c r="AB114" s="82"/>
      <c r="AC114" s="87" t="s">
        <v>791</v>
      </c>
      <c r="AD114" s="87" t="s">
        <v>955</v>
      </c>
      <c r="AE114" s="82" t="b">
        <v>0</v>
      </c>
      <c r="AF114" s="82">
        <v>3</v>
      </c>
      <c r="AG114" s="87" t="s">
        <v>972</v>
      </c>
      <c r="AH114" s="82" t="b">
        <v>0</v>
      </c>
      <c r="AI114" s="82" t="s">
        <v>973</v>
      </c>
      <c r="AJ114" s="82"/>
      <c r="AK114" s="87" t="s">
        <v>957</v>
      </c>
      <c r="AL114" s="82" t="b">
        <v>0</v>
      </c>
      <c r="AM114" s="82">
        <v>0</v>
      </c>
      <c r="AN114" s="87" t="s">
        <v>957</v>
      </c>
      <c r="AO114" s="87" t="s">
        <v>977</v>
      </c>
      <c r="AP114" s="82" t="b">
        <v>0</v>
      </c>
      <c r="AQ114" s="87" t="s">
        <v>955</v>
      </c>
      <c r="AR114" s="82" t="s">
        <v>211</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6" t="s">
        <v>302</v>
      </c>
      <c r="B115" s="66" t="s">
        <v>321</v>
      </c>
      <c r="C115" s="67" t="s">
        <v>2139</v>
      </c>
      <c r="D115" s="68">
        <v>3</v>
      </c>
      <c r="E115" s="69" t="s">
        <v>132</v>
      </c>
      <c r="F115" s="70">
        <v>32</v>
      </c>
      <c r="G115" s="67"/>
      <c r="H115" s="71"/>
      <c r="I115" s="72"/>
      <c r="J115" s="72"/>
      <c r="K115" s="35" t="s">
        <v>65</v>
      </c>
      <c r="L115" s="80">
        <v>115</v>
      </c>
      <c r="M115" s="80"/>
      <c r="N115" s="74"/>
      <c r="O115" s="82" t="s">
        <v>332</v>
      </c>
      <c r="P115" s="84">
        <v>44731.33804398148</v>
      </c>
      <c r="Q115" s="82" t="s">
        <v>374</v>
      </c>
      <c r="R115" s="82"/>
      <c r="S115" s="82"/>
      <c r="T115" s="82"/>
      <c r="U115" s="82"/>
      <c r="V115" s="85" t="str">
        <f>HYPERLINK("https://pbs.twimg.com/profile_images/1450909106995355650/sNcLhBm4_normal.jpg")</f>
        <v>https://pbs.twimg.com/profile_images/1450909106995355650/sNcLhBm4_normal.jpg</v>
      </c>
      <c r="W115" s="84">
        <v>44731.33804398148</v>
      </c>
      <c r="X115" s="89">
        <v>44731</v>
      </c>
      <c r="Y115" s="87" t="s">
        <v>603</v>
      </c>
      <c r="Z115" s="85" t="str">
        <f>HYPERLINK("https://twitter.com/thevinylslap/status/1538433096919523328")</f>
        <v>https://twitter.com/thevinylslap/status/1538433096919523328</v>
      </c>
      <c r="AA115" s="82"/>
      <c r="AB115" s="82"/>
      <c r="AC115" s="87" t="s">
        <v>792</v>
      </c>
      <c r="AD115" s="87" t="s">
        <v>956</v>
      </c>
      <c r="AE115" s="82" t="b">
        <v>0</v>
      </c>
      <c r="AF115" s="82">
        <v>2</v>
      </c>
      <c r="AG115" s="87" t="s">
        <v>967</v>
      </c>
      <c r="AH115" s="82" t="b">
        <v>0</v>
      </c>
      <c r="AI115" s="82" t="s">
        <v>973</v>
      </c>
      <c r="AJ115" s="82"/>
      <c r="AK115" s="87" t="s">
        <v>957</v>
      </c>
      <c r="AL115" s="82" t="b">
        <v>0</v>
      </c>
      <c r="AM115" s="82">
        <v>0</v>
      </c>
      <c r="AN115" s="87" t="s">
        <v>957</v>
      </c>
      <c r="AO115" s="87" t="s">
        <v>977</v>
      </c>
      <c r="AP115" s="82" t="b">
        <v>0</v>
      </c>
      <c r="AQ115" s="87" t="s">
        <v>956</v>
      </c>
      <c r="AR115" s="82" t="s">
        <v>211</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6" t="s">
        <v>303</v>
      </c>
      <c r="B116" s="66" t="s">
        <v>303</v>
      </c>
      <c r="C116" s="67" t="s">
        <v>2139</v>
      </c>
      <c r="D116" s="68">
        <v>3</v>
      </c>
      <c r="E116" s="69" t="s">
        <v>132</v>
      </c>
      <c r="F116" s="70">
        <v>32</v>
      </c>
      <c r="G116" s="67"/>
      <c r="H116" s="71"/>
      <c r="I116" s="72"/>
      <c r="J116" s="72"/>
      <c r="K116" s="35" t="s">
        <v>65</v>
      </c>
      <c r="L116" s="80">
        <v>116</v>
      </c>
      <c r="M116" s="80"/>
      <c r="N116" s="74"/>
      <c r="O116" s="82" t="s">
        <v>211</v>
      </c>
      <c r="P116" s="84">
        <v>44731.38224537037</v>
      </c>
      <c r="Q116" s="82" t="s">
        <v>375</v>
      </c>
      <c r="R116" s="82" t="s">
        <v>519</v>
      </c>
      <c r="S116" s="82" t="s">
        <v>530</v>
      </c>
      <c r="T116" s="82"/>
      <c r="U116" s="82"/>
      <c r="V116" s="85" t="str">
        <f>HYPERLINK("https://pbs.twimg.com/profile_images/362558582/Kaline_1968_normal.jpg")</f>
        <v>https://pbs.twimg.com/profile_images/362558582/Kaline_1968_normal.jpg</v>
      </c>
      <c r="W116" s="84">
        <v>44731.38224537037</v>
      </c>
      <c r="X116" s="89">
        <v>44731</v>
      </c>
      <c r="Y116" s="87" t="s">
        <v>604</v>
      </c>
      <c r="Z116" s="85" t="str">
        <f>HYPERLINK("https://twitter.com/kalinecountry/status/1538449114916171776")</f>
        <v>https://twitter.com/kalinecountry/status/1538449114916171776</v>
      </c>
      <c r="AA116" s="82"/>
      <c r="AB116" s="82"/>
      <c r="AC116" s="87" t="s">
        <v>793</v>
      </c>
      <c r="AD116" s="82"/>
      <c r="AE116" s="82" t="b">
        <v>0</v>
      </c>
      <c r="AF116" s="82">
        <v>2</v>
      </c>
      <c r="AG116" s="87" t="s">
        <v>957</v>
      </c>
      <c r="AH116" s="82" t="b">
        <v>0</v>
      </c>
      <c r="AI116" s="82" t="s">
        <v>973</v>
      </c>
      <c r="AJ116" s="82"/>
      <c r="AK116" s="87" t="s">
        <v>957</v>
      </c>
      <c r="AL116" s="82" t="b">
        <v>0</v>
      </c>
      <c r="AM116" s="82">
        <v>1</v>
      </c>
      <c r="AN116" s="87" t="s">
        <v>957</v>
      </c>
      <c r="AO116" s="87" t="s">
        <v>978</v>
      </c>
      <c r="AP116" s="82" t="b">
        <v>0</v>
      </c>
      <c r="AQ116" s="87" t="s">
        <v>793</v>
      </c>
      <c r="AR116" s="82" t="s">
        <v>211</v>
      </c>
      <c r="AS116" s="82">
        <v>0</v>
      </c>
      <c r="AT116" s="82">
        <v>0</v>
      </c>
      <c r="AU116" s="82"/>
      <c r="AV116" s="82"/>
      <c r="AW116" s="82"/>
      <c r="AX116" s="82"/>
      <c r="AY116" s="82"/>
      <c r="AZ116" s="82"/>
      <c r="BA116" s="82"/>
      <c r="BB116" s="82"/>
      <c r="BC116">
        <v>1</v>
      </c>
      <c r="BD116" s="81" t="str">
        <f>REPLACE(INDEX(GroupVertices[Group],MATCH(Edges[[#This Row],[Vertex 1]],GroupVertices[Vertex],0)),1,1,"")</f>
        <v>11</v>
      </c>
      <c r="BE116" s="81" t="str">
        <f>REPLACE(INDEX(GroupVertices[Group],MATCH(Edges[[#This Row],[Vertex 2]],GroupVertices[Vertex],0)),1,1,"")</f>
        <v>11</v>
      </c>
      <c r="BF116" s="49">
        <v>1</v>
      </c>
      <c r="BG116" s="50">
        <v>12.5</v>
      </c>
      <c r="BH116" s="49">
        <v>0</v>
      </c>
      <c r="BI116" s="50">
        <v>0</v>
      </c>
      <c r="BJ116" s="49">
        <v>0</v>
      </c>
      <c r="BK116" s="50">
        <v>0</v>
      </c>
      <c r="BL116" s="49">
        <v>7</v>
      </c>
      <c r="BM116" s="50">
        <v>87.5</v>
      </c>
      <c r="BN116" s="49">
        <v>8</v>
      </c>
    </row>
    <row r="117" spans="1:66" ht="15">
      <c r="A117" s="66" t="s">
        <v>304</v>
      </c>
      <c r="B117" s="66" t="s">
        <v>303</v>
      </c>
      <c r="C117" s="67" t="s">
        <v>2139</v>
      </c>
      <c r="D117" s="68">
        <v>3</v>
      </c>
      <c r="E117" s="69" t="s">
        <v>132</v>
      </c>
      <c r="F117" s="70">
        <v>32</v>
      </c>
      <c r="G117" s="67"/>
      <c r="H117" s="71"/>
      <c r="I117" s="72"/>
      <c r="J117" s="72"/>
      <c r="K117" s="35" t="s">
        <v>65</v>
      </c>
      <c r="L117" s="80">
        <v>117</v>
      </c>
      <c r="M117" s="80"/>
      <c r="N117" s="74"/>
      <c r="O117" s="82" t="s">
        <v>330</v>
      </c>
      <c r="P117" s="84">
        <v>44731.39921296296</v>
      </c>
      <c r="Q117" s="82" t="s">
        <v>375</v>
      </c>
      <c r="R117" s="82" t="s">
        <v>520</v>
      </c>
      <c r="S117" s="82" t="s">
        <v>531</v>
      </c>
      <c r="T117" s="82"/>
      <c r="U117" s="82"/>
      <c r="V117" s="85" t="str">
        <f>HYPERLINK("https://pbs.twimg.com/profile_images/486132180309917697/7_nnP6z7_normal.jpeg")</f>
        <v>https://pbs.twimg.com/profile_images/486132180309917697/7_nnP6z7_normal.jpeg</v>
      </c>
      <c r="W117" s="84">
        <v>44731.39921296296</v>
      </c>
      <c r="X117" s="89">
        <v>44731</v>
      </c>
      <c r="Y117" s="87" t="s">
        <v>605</v>
      </c>
      <c r="Z117" s="85" t="str">
        <f>HYPERLINK("https://twitter.com/paperyou/status/1538455264281694208")</f>
        <v>https://twitter.com/paperyou/status/1538455264281694208</v>
      </c>
      <c r="AA117" s="82"/>
      <c r="AB117" s="82"/>
      <c r="AC117" s="87" t="s">
        <v>794</v>
      </c>
      <c r="AD117" s="82"/>
      <c r="AE117" s="82" t="b">
        <v>0</v>
      </c>
      <c r="AF117" s="82">
        <v>0</v>
      </c>
      <c r="AG117" s="87" t="s">
        <v>957</v>
      </c>
      <c r="AH117" s="82" t="b">
        <v>0</v>
      </c>
      <c r="AI117" s="82" t="s">
        <v>973</v>
      </c>
      <c r="AJ117" s="82"/>
      <c r="AK117" s="87" t="s">
        <v>957</v>
      </c>
      <c r="AL117" s="82" t="b">
        <v>0</v>
      </c>
      <c r="AM117" s="82">
        <v>1</v>
      </c>
      <c r="AN117" s="87" t="s">
        <v>793</v>
      </c>
      <c r="AO117" s="87" t="s">
        <v>977</v>
      </c>
      <c r="AP117" s="82" t="b">
        <v>0</v>
      </c>
      <c r="AQ117" s="87" t="s">
        <v>793</v>
      </c>
      <c r="AR117" s="82" t="s">
        <v>211</v>
      </c>
      <c r="AS117" s="82">
        <v>0</v>
      </c>
      <c r="AT117" s="82">
        <v>0</v>
      </c>
      <c r="AU117" s="82"/>
      <c r="AV117" s="82"/>
      <c r="AW117" s="82"/>
      <c r="AX117" s="82"/>
      <c r="AY117" s="82"/>
      <c r="AZ117" s="82"/>
      <c r="BA117" s="82"/>
      <c r="BB117" s="82"/>
      <c r="BC117">
        <v>1</v>
      </c>
      <c r="BD117" s="81" t="str">
        <f>REPLACE(INDEX(GroupVertices[Group],MATCH(Edges[[#This Row],[Vertex 1]],GroupVertices[Vertex],0)),1,1,"")</f>
        <v>11</v>
      </c>
      <c r="BE117" s="81" t="str">
        <f>REPLACE(INDEX(GroupVertices[Group],MATCH(Edges[[#This Row],[Vertex 2]],GroupVertices[Vertex],0)),1,1,"")</f>
        <v>11</v>
      </c>
      <c r="BF117" s="49">
        <v>1</v>
      </c>
      <c r="BG117" s="50">
        <v>12.5</v>
      </c>
      <c r="BH117" s="49">
        <v>0</v>
      </c>
      <c r="BI117" s="50">
        <v>0</v>
      </c>
      <c r="BJ117" s="49">
        <v>0</v>
      </c>
      <c r="BK117" s="50">
        <v>0</v>
      </c>
      <c r="BL117" s="49">
        <v>7</v>
      </c>
      <c r="BM117" s="50">
        <v>87.5</v>
      </c>
      <c r="BN117" s="49">
        <v>8</v>
      </c>
    </row>
    <row r="118" spans="1:66" ht="15">
      <c r="A118" s="66" t="s">
        <v>305</v>
      </c>
      <c r="B118" s="66" t="s">
        <v>305</v>
      </c>
      <c r="C118" s="67" t="s">
        <v>2140</v>
      </c>
      <c r="D118" s="68">
        <v>3</v>
      </c>
      <c r="E118" s="69" t="s">
        <v>136</v>
      </c>
      <c r="F118" s="70">
        <v>6</v>
      </c>
      <c r="G118" s="67"/>
      <c r="H118" s="71"/>
      <c r="I118" s="72"/>
      <c r="J118" s="72"/>
      <c r="K118" s="35" t="s">
        <v>65</v>
      </c>
      <c r="L118" s="80">
        <v>118</v>
      </c>
      <c r="M118" s="80"/>
      <c r="N118" s="74"/>
      <c r="O118" s="82" t="s">
        <v>211</v>
      </c>
      <c r="P118" s="84">
        <v>44722.17471064815</v>
      </c>
      <c r="Q118" s="82" t="s">
        <v>376</v>
      </c>
      <c r="R118" s="82"/>
      <c r="S118" s="82"/>
      <c r="T118" s="82"/>
      <c r="U118" s="82"/>
      <c r="V118" s="85" t="str">
        <f>HYPERLINK("https://pbs.twimg.com/profile_images/825717962481029123/h6cXfTnb_normal.jpg")</f>
        <v>https://pbs.twimg.com/profile_images/825717962481029123/h6cXfTnb_normal.jpg</v>
      </c>
      <c r="W118" s="84">
        <v>44722.17471064815</v>
      </c>
      <c r="X118" s="89">
        <v>44722</v>
      </c>
      <c r="Y118" s="87" t="s">
        <v>606</v>
      </c>
      <c r="Z118" s="85" t="str">
        <f>HYPERLINK("https://twitter.com/chombotofficial/status/1535112415544807441")</f>
        <v>https://twitter.com/chombotofficial/status/1535112415544807441</v>
      </c>
      <c r="AA118" s="82"/>
      <c r="AB118" s="82"/>
      <c r="AC118" s="87" t="s">
        <v>795</v>
      </c>
      <c r="AD118" s="82"/>
      <c r="AE118" s="82" t="b">
        <v>0</v>
      </c>
      <c r="AF118" s="82">
        <v>0</v>
      </c>
      <c r="AG118" s="87" t="s">
        <v>957</v>
      </c>
      <c r="AH118" s="82" t="b">
        <v>0</v>
      </c>
      <c r="AI118" s="82" t="s">
        <v>973</v>
      </c>
      <c r="AJ118" s="82"/>
      <c r="AK118" s="87" t="s">
        <v>957</v>
      </c>
      <c r="AL118" s="82" t="b">
        <v>0</v>
      </c>
      <c r="AM118" s="82">
        <v>0</v>
      </c>
      <c r="AN118" s="87" t="s">
        <v>957</v>
      </c>
      <c r="AO118" s="87" t="s">
        <v>305</v>
      </c>
      <c r="AP118" s="82" t="b">
        <v>0</v>
      </c>
      <c r="AQ118" s="87" t="s">
        <v>795</v>
      </c>
      <c r="AR118" s="82" t="s">
        <v>211</v>
      </c>
      <c r="AS118" s="82">
        <v>0</v>
      </c>
      <c r="AT118" s="82">
        <v>0</v>
      </c>
      <c r="AU118" s="82"/>
      <c r="AV118" s="82"/>
      <c r="AW118" s="82"/>
      <c r="AX118" s="82"/>
      <c r="AY118" s="82"/>
      <c r="AZ118" s="82"/>
      <c r="BA118" s="82"/>
      <c r="BB118" s="82"/>
      <c r="BC118">
        <v>142</v>
      </c>
      <c r="BD118" s="81" t="str">
        <f>REPLACE(INDEX(GroupVertices[Group],MATCH(Edges[[#This Row],[Vertex 1]],GroupVertices[Vertex],0)),1,1,"")</f>
        <v>2</v>
      </c>
      <c r="BE118" s="81" t="str">
        <f>REPLACE(INDEX(GroupVertices[Group],MATCH(Edges[[#This Row],[Vertex 2]],GroupVertices[Vertex],0)),1,1,"")</f>
        <v>2</v>
      </c>
      <c r="BF118" s="49">
        <v>0</v>
      </c>
      <c r="BG118" s="50">
        <v>0</v>
      </c>
      <c r="BH118" s="49">
        <v>0</v>
      </c>
      <c r="BI118" s="50">
        <v>0</v>
      </c>
      <c r="BJ118" s="49">
        <v>0</v>
      </c>
      <c r="BK118" s="50">
        <v>0</v>
      </c>
      <c r="BL118" s="49">
        <v>16</v>
      </c>
      <c r="BM118" s="50">
        <v>100</v>
      </c>
      <c r="BN118" s="49">
        <v>16</v>
      </c>
    </row>
    <row r="119" spans="1:66" ht="15">
      <c r="A119" s="66" t="s">
        <v>305</v>
      </c>
      <c r="B119" s="66" t="s">
        <v>305</v>
      </c>
      <c r="C119" s="67" t="s">
        <v>2140</v>
      </c>
      <c r="D119" s="68">
        <v>3</v>
      </c>
      <c r="E119" s="69" t="s">
        <v>136</v>
      </c>
      <c r="F119" s="70">
        <v>6</v>
      </c>
      <c r="G119" s="67"/>
      <c r="H119" s="71"/>
      <c r="I119" s="72"/>
      <c r="J119" s="72"/>
      <c r="K119" s="35" t="s">
        <v>65</v>
      </c>
      <c r="L119" s="80">
        <v>119</v>
      </c>
      <c r="M119" s="80"/>
      <c r="N119" s="74"/>
      <c r="O119" s="82" t="s">
        <v>211</v>
      </c>
      <c r="P119" s="84">
        <v>44722.199016203704</v>
      </c>
      <c r="Q119" s="82" t="s">
        <v>377</v>
      </c>
      <c r="R119" s="82"/>
      <c r="S119" s="82"/>
      <c r="T119" s="82"/>
      <c r="U119" s="82"/>
      <c r="V119" s="85" t="str">
        <f>HYPERLINK("https://pbs.twimg.com/profile_images/825717962481029123/h6cXfTnb_normal.jpg")</f>
        <v>https://pbs.twimg.com/profile_images/825717962481029123/h6cXfTnb_normal.jpg</v>
      </c>
      <c r="W119" s="84">
        <v>44722.199016203704</v>
      </c>
      <c r="X119" s="89">
        <v>44722</v>
      </c>
      <c r="Y119" s="87" t="s">
        <v>607</v>
      </c>
      <c r="Z119" s="85" t="str">
        <f>HYPERLINK("https://twitter.com/chombotofficial/status/1535121221582462976")</f>
        <v>https://twitter.com/chombotofficial/status/1535121221582462976</v>
      </c>
      <c r="AA119" s="82"/>
      <c r="AB119" s="82"/>
      <c r="AC119" s="87" t="s">
        <v>796</v>
      </c>
      <c r="AD119" s="82"/>
      <c r="AE119" s="82" t="b">
        <v>0</v>
      </c>
      <c r="AF119" s="82">
        <v>0</v>
      </c>
      <c r="AG119" s="87" t="s">
        <v>957</v>
      </c>
      <c r="AH119" s="82" t="b">
        <v>0</v>
      </c>
      <c r="AI119" s="82" t="s">
        <v>973</v>
      </c>
      <c r="AJ119" s="82"/>
      <c r="AK119" s="87" t="s">
        <v>957</v>
      </c>
      <c r="AL119" s="82" t="b">
        <v>0</v>
      </c>
      <c r="AM119" s="82">
        <v>0</v>
      </c>
      <c r="AN119" s="87" t="s">
        <v>957</v>
      </c>
      <c r="AO119" s="87" t="s">
        <v>305</v>
      </c>
      <c r="AP119" s="82" t="b">
        <v>0</v>
      </c>
      <c r="AQ119" s="87" t="s">
        <v>796</v>
      </c>
      <c r="AR119" s="82" t="s">
        <v>211</v>
      </c>
      <c r="AS119" s="82">
        <v>0</v>
      </c>
      <c r="AT119" s="82">
        <v>0</v>
      </c>
      <c r="AU119" s="82"/>
      <c r="AV119" s="82"/>
      <c r="AW119" s="82"/>
      <c r="AX119" s="82"/>
      <c r="AY119" s="82"/>
      <c r="AZ119" s="82"/>
      <c r="BA119" s="82"/>
      <c r="BB119" s="82"/>
      <c r="BC119">
        <v>142</v>
      </c>
      <c r="BD119" s="81" t="str">
        <f>REPLACE(INDEX(GroupVertices[Group],MATCH(Edges[[#This Row],[Vertex 1]],GroupVertices[Vertex],0)),1,1,"")</f>
        <v>2</v>
      </c>
      <c r="BE119" s="81" t="str">
        <f>REPLACE(INDEX(GroupVertices[Group],MATCH(Edges[[#This Row],[Vertex 2]],GroupVertices[Vertex],0)),1,1,"")</f>
        <v>2</v>
      </c>
      <c r="BF119" s="49">
        <v>0</v>
      </c>
      <c r="BG119" s="50">
        <v>0</v>
      </c>
      <c r="BH119" s="49">
        <v>2</v>
      </c>
      <c r="BI119" s="50">
        <v>10</v>
      </c>
      <c r="BJ119" s="49">
        <v>0</v>
      </c>
      <c r="BK119" s="50">
        <v>0</v>
      </c>
      <c r="BL119" s="49">
        <v>18</v>
      </c>
      <c r="BM119" s="50">
        <v>90</v>
      </c>
      <c r="BN119" s="49">
        <v>20</v>
      </c>
    </row>
    <row r="120" spans="1:66" ht="15">
      <c r="A120" s="66" t="s">
        <v>305</v>
      </c>
      <c r="B120" s="66" t="s">
        <v>305</v>
      </c>
      <c r="C120" s="67" t="s">
        <v>2140</v>
      </c>
      <c r="D120" s="68">
        <v>3</v>
      </c>
      <c r="E120" s="69" t="s">
        <v>136</v>
      </c>
      <c r="F120" s="70">
        <v>6</v>
      </c>
      <c r="G120" s="67"/>
      <c r="H120" s="71"/>
      <c r="I120" s="72"/>
      <c r="J120" s="72"/>
      <c r="K120" s="35" t="s">
        <v>65</v>
      </c>
      <c r="L120" s="80">
        <v>120</v>
      </c>
      <c r="M120" s="80"/>
      <c r="N120" s="74"/>
      <c r="O120" s="82" t="s">
        <v>211</v>
      </c>
      <c r="P120" s="84">
        <v>44722.28928240741</v>
      </c>
      <c r="Q120" s="82" t="s">
        <v>378</v>
      </c>
      <c r="R120" s="82"/>
      <c r="S120" s="82"/>
      <c r="T120" s="82"/>
      <c r="U120" s="82"/>
      <c r="V120" s="85" t="str">
        <f>HYPERLINK("https://pbs.twimg.com/profile_images/825717962481029123/h6cXfTnb_normal.jpg")</f>
        <v>https://pbs.twimg.com/profile_images/825717962481029123/h6cXfTnb_normal.jpg</v>
      </c>
      <c r="W120" s="84">
        <v>44722.28928240741</v>
      </c>
      <c r="X120" s="89">
        <v>44722</v>
      </c>
      <c r="Y120" s="87" t="s">
        <v>608</v>
      </c>
      <c r="Z120" s="85" t="str">
        <f>HYPERLINK("https://twitter.com/chombotofficial/status/1535153936193183745")</f>
        <v>https://twitter.com/chombotofficial/status/1535153936193183745</v>
      </c>
      <c r="AA120" s="82"/>
      <c r="AB120" s="82"/>
      <c r="AC120" s="87" t="s">
        <v>797</v>
      </c>
      <c r="AD120" s="82"/>
      <c r="AE120" s="82" t="b">
        <v>0</v>
      </c>
      <c r="AF120" s="82">
        <v>0</v>
      </c>
      <c r="AG120" s="87" t="s">
        <v>957</v>
      </c>
      <c r="AH120" s="82" t="b">
        <v>0</v>
      </c>
      <c r="AI120" s="82" t="s">
        <v>973</v>
      </c>
      <c r="AJ120" s="82"/>
      <c r="AK120" s="87" t="s">
        <v>957</v>
      </c>
      <c r="AL120" s="82" t="b">
        <v>0</v>
      </c>
      <c r="AM120" s="82">
        <v>0</v>
      </c>
      <c r="AN120" s="87" t="s">
        <v>957</v>
      </c>
      <c r="AO120" s="87" t="s">
        <v>305</v>
      </c>
      <c r="AP120" s="82" t="b">
        <v>0</v>
      </c>
      <c r="AQ120" s="87" t="s">
        <v>797</v>
      </c>
      <c r="AR120" s="82" t="s">
        <v>211</v>
      </c>
      <c r="AS120" s="82">
        <v>0</v>
      </c>
      <c r="AT120" s="82">
        <v>0</v>
      </c>
      <c r="AU120" s="82"/>
      <c r="AV120" s="82"/>
      <c r="AW120" s="82"/>
      <c r="AX120" s="82"/>
      <c r="AY120" s="82"/>
      <c r="AZ120" s="82"/>
      <c r="BA120" s="82"/>
      <c r="BB120" s="82"/>
      <c r="BC120">
        <v>142</v>
      </c>
      <c r="BD120" s="81" t="str">
        <f>REPLACE(INDEX(GroupVertices[Group],MATCH(Edges[[#This Row],[Vertex 1]],GroupVertices[Vertex],0)),1,1,"")</f>
        <v>2</v>
      </c>
      <c r="BE120" s="81" t="str">
        <f>REPLACE(INDEX(GroupVertices[Group],MATCH(Edges[[#This Row],[Vertex 2]],GroupVertices[Vertex],0)),1,1,"")</f>
        <v>2</v>
      </c>
      <c r="BF120" s="49">
        <v>0</v>
      </c>
      <c r="BG120" s="50">
        <v>0</v>
      </c>
      <c r="BH120" s="49">
        <v>0</v>
      </c>
      <c r="BI120" s="50">
        <v>0</v>
      </c>
      <c r="BJ120" s="49">
        <v>0</v>
      </c>
      <c r="BK120" s="50">
        <v>0</v>
      </c>
      <c r="BL120" s="49">
        <v>13</v>
      </c>
      <c r="BM120" s="50">
        <v>100</v>
      </c>
      <c r="BN120" s="49">
        <v>13</v>
      </c>
    </row>
    <row r="121" spans="1:66" ht="15">
      <c r="A121" s="66" t="s">
        <v>305</v>
      </c>
      <c r="B121" s="66" t="s">
        <v>305</v>
      </c>
      <c r="C121" s="67" t="s">
        <v>2140</v>
      </c>
      <c r="D121" s="68">
        <v>3</v>
      </c>
      <c r="E121" s="69" t="s">
        <v>136</v>
      </c>
      <c r="F121" s="70">
        <v>6</v>
      </c>
      <c r="G121" s="67"/>
      <c r="H121" s="71"/>
      <c r="I121" s="72"/>
      <c r="J121" s="72"/>
      <c r="K121" s="35" t="s">
        <v>65</v>
      </c>
      <c r="L121" s="80">
        <v>121</v>
      </c>
      <c r="M121" s="80"/>
      <c r="N121" s="74"/>
      <c r="O121" s="82" t="s">
        <v>211</v>
      </c>
      <c r="P121" s="84">
        <v>44722.417766203704</v>
      </c>
      <c r="Q121" s="82" t="s">
        <v>379</v>
      </c>
      <c r="R121" s="82"/>
      <c r="S121" s="82"/>
      <c r="T121" s="82"/>
      <c r="U121" s="82"/>
      <c r="V121" s="85" t="str">
        <f>HYPERLINK("https://pbs.twimg.com/profile_images/825717962481029123/h6cXfTnb_normal.jpg")</f>
        <v>https://pbs.twimg.com/profile_images/825717962481029123/h6cXfTnb_normal.jpg</v>
      </c>
      <c r="W121" s="84">
        <v>44722.417766203704</v>
      </c>
      <c r="X121" s="89">
        <v>44722</v>
      </c>
      <c r="Y121" s="87" t="s">
        <v>609</v>
      </c>
      <c r="Z121" s="85" t="str">
        <f>HYPERLINK("https://twitter.com/chombotofficial/status/1535200495471579138")</f>
        <v>https://twitter.com/chombotofficial/status/1535200495471579138</v>
      </c>
      <c r="AA121" s="82"/>
      <c r="AB121" s="82"/>
      <c r="AC121" s="87" t="s">
        <v>798</v>
      </c>
      <c r="AD121" s="82"/>
      <c r="AE121" s="82" t="b">
        <v>0</v>
      </c>
      <c r="AF121" s="82">
        <v>0</v>
      </c>
      <c r="AG121" s="87" t="s">
        <v>957</v>
      </c>
      <c r="AH121" s="82" t="b">
        <v>0</v>
      </c>
      <c r="AI121" s="82" t="s">
        <v>973</v>
      </c>
      <c r="AJ121" s="82"/>
      <c r="AK121" s="87" t="s">
        <v>957</v>
      </c>
      <c r="AL121" s="82" t="b">
        <v>0</v>
      </c>
      <c r="AM121" s="82">
        <v>0</v>
      </c>
      <c r="AN121" s="87" t="s">
        <v>957</v>
      </c>
      <c r="AO121" s="87" t="s">
        <v>305</v>
      </c>
      <c r="AP121" s="82" t="b">
        <v>0</v>
      </c>
      <c r="AQ121" s="87" t="s">
        <v>798</v>
      </c>
      <c r="AR121" s="82" t="s">
        <v>211</v>
      </c>
      <c r="AS121" s="82">
        <v>0</v>
      </c>
      <c r="AT121" s="82">
        <v>0</v>
      </c>
      <c r="AU121" s="82"/>
      <c r="AV121" s="82"/>
      <c r="AW121" s="82"/>
      <c r="AX121" s="82"/>
      <c r="AY121" s="82"/>
      <c r="AZ121" s="82"/>
      <c r="BA121" s="82"/>
      <c r="BB121" s="82"/>
      <c r="BC121">
        <v>142</v>
      </c>
      <c r="BD121" s="81" t="str">
        <f>REPLACE(INDEX(GroupVertices[Group],MATCH(Edges[[#This Row],[Vertex 1]],GroupVertices[Vertex],0)),1,1,"")</f>
        <v>2</v>
      </c>
      <c r="BE121" s="81" t="str">
        <f>REPLACE(INDEX(GroupVertices[Group],MATCH(Edges[[#This Row],[Vertex 2]],GroupVertices[Vertex],0)),1,1,"")</f>
        <v>2</v>
      </c>
      <c r="BF121" s="49">
        <v>1</v>
      </c>
      <c r="BG121" s="50">
        <v>5</v>
      </c>
      <c r="BH121" s="49">
        <v>1</v>
      </c>
      <c r="BI121" s="50">
        <v>5</v>
      </c>
      <c r="BJ121" s="49">
        <v>0</v>
      </c>
      <c r="BK121" s="50">
        <v>0</v>
      </c>
      <c r="BL121" s="49">
        <v>18</v>
      </c>
      <c r="BM121" s="50">
        <v>90</v>
      </c>
      <c r="BN121" s="49">
        <v>20</v>
      </c>
    </row>
    <row r="122" spans="1:66" ht="15">
      <c r="A122" s="66" t="s">
        <v>305</v>
      </c>
      <c r="B122" s="66" t="s">
        <v>305</v>
      </c>
      <c r="C122" s="67" t="s">
        <v>2140</v>
      </c>
      <c r="D122" s="68">
        <v>3</v>
      </c>
      <c r="E122" s="69" t="s">
        <v>136</v>
      </c>
      <c r="F122" s="70">
        <v>6</v>
      </c>
      <c r="G122" s="67"/>
      <c r="H122" s="71"/>
      <c r="I122" s="72"/>
      <c r="J122" s="72"/>
      <c r="K122" s="35" t="s">
        <v>65</v>
      </c>
      <c r="L122" s="80">
        <v>122</v>
      </c>
      <c r="M122" s="80"/>
      <c r="N122" s="74"/>
      <c r="O122" s="82" t="s">
        <v>211</v>
      </c>
      <c r="P122" s="84">
        <v>44722.42818287037</v>
      </c>
      <c r="Q122" s="82" t="s">
        <v>380</v>
      </c>
      <c r="R122" s="82"/>
      <c r="S122" s="82"/>
      <c r="T122" s="82"/>
      <c r="U122" s="82"/>
      <c r="V122" s="85" t="str">
        <f>HYPERLINK("https://pbs.twimg.com/profile_images/825717962481029123/h6cXfTnb_normal.jpg")</f>
        <v>https://pbs.twimg.com/profile_images/825717962481029123/h6cXfTnb_normal.jpg</v>
      </c>
      <c r="W122" s="84">
        <v>44722.42818287037</v>
      </c>
      <c r="X122" s="89">
        <v>44722</v>
      </c>
      <c r="Y122" s="87" t="s">
        <v>610</v>
      </c>
      <c r="Z122" s="85" t="str">
        <f>HYPERLINK("https://twitter.com/chombotofficial/status/1535204268608823297")</f>
        <v>https://twitter.com/chombotofficial/status/1535204268608823297</v>
      </c>
      <c r="AA122" s="82"/>
      <c r="AB122" s="82"/>
      <c r="AC122" s="87" t="s">
        <v>799</v>
      </c>
      <c r="AD122" s="82"/>
      <c r="AE122" s="82" t="b">
        <v>0</v>
      </c>
      <c r="AF122" s="82">
        <v>0</v>
      </c>
      <c r="AG122" s="87" t="s">
        <v>957</v>
      </c>
      <c r="AH122" s="82" t="b">
        <v>0</v>
      </c>
      <c r="AI122" s="82" t="s">
        <v>973</v>
      </c>
      <c r="AJ122" s="82"/>
      <c r="AK122" s="87" t="s">
        <v>957</v>
      </c>
      <c r="AL122" s="82" t="b">
        <v>0</v>
      </c>
      <c r="AM122" s="82">
        <v>0</v>
      </c>
      <c r="AN122" s="87" t="s">
        <v>957</v>
      </c>
      <c r="AO122" s="87" t="s">
        <v>305</v>
      </c>
      <c r="AP122" s="82" t="b">
        <v>0</v>
      </c>
      <c r="AQ122" s="87" t="s">
        <v>799</v>
      </c>
      <c r="AR122" s="82" t="s">
        <v>211</v>
      </c>
      <c r="AS122" s="82">
        <v>0</v>
      </c>
      <c r="AT122" s="82">
        <v>0</v>
      </c>
      <c r="AU122" s="82"/>
      <c r="AV122" s="82"/>
      <c r="AW122" s="82"/>
      <c r="AX122" s="82"/>
      <c r="AY122" s="82"/>
      <c r="AZ122" s="82"/>
      <c r="BA122" s="82"/>
      <c r="BB122" s="82"/>
      <c r="BC122">
        <v>142</v>
      </c>
      <c r="BD122" s="81" t="str">
        <f>REPLACE(INDEX(GroupVertices[Group],MATCH(Edges[[#This Row],[Vertex 1]],GroupVertices[Vertex],0)),1,1,"")</f>
        <v>2</v>
      </c>
      <c r="BE122" s="81"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6" t="s">
        <v>305</v>
      </c>
      <c r="B123" s="66" t="s">
        <v>305</v>
      </c>
      <c r="C123" s="67" t="s">
        <v>2140</v>
      </c>
      <c r="D123" s="68">
        <v>3</v>
      </c>
      <c r="E123" s="69" t="s">
        <v>136</v>
      </c>
      <c r="F123" s="70">
        <v>6</v>
      </c>
      <c r="G123" s="67"/>
      <c r="H123" s="71"/>
      <c r="I123" s="72"/>
      <c r="J123" s="72"/>
      <c r="K123" s="35" t="s">
        <v>65</v>
      </c>
      <c r="L123" s="80">
        <v>123</v>
      </c>
      <c r="M123" s="80"/>
      <c r="N123" s="74"/>
      <c r="O123" s="82" t="s">
        <v>211</v>
      </c>
      <c r="P123" s="84">
        <v>44722.49762731481</v>
      </c>
      <c r="Q123" s="82" t="s">
        <v>381</v>
      </c>
      <c r="R123" s="82"/>
      <c r="S123" s="82"/>
      <c r="T123" s="82"/>
      <c r="U123" s="82"/>
      <c r="V123" s="85" t="str">
        <f>HYPERLINK("https://pbs.twimg.com/profile_images/825717962481029123/h6cXfTnb_normal.jpg")</f>
        <v>https://pbs.twimg.com/profile_images/825717962481029123/h6cXfTnb_normal.jpg</v>
      </c>
      <c r="W123" s="84">
        <v>44722.49762731481</v>
      </c>
      <c r="X123" s="89">
        <v>44722</v>
      </c>
      <c r="Y123" s="87" t="s">
        <v>611</v>
      </c>
      <c r="Z123" s="85" t="str">
        <f>HYPERLINK("https://twitter.com/chombotofficial/status/1535229436446101504")</f>
        <v>https://twitter.com/chombotofficial/status/1535229436446101504</v>
      </c>
      <c r="AA123" s="82"/>
      <c r="AB123" s="82"/>
      <c r="AC123" s="87" t="s">
        <v>800</v>
      </c>
      <c r="AD123" s="82"/>
      <c r="AE123" s="82" t="b">
        <v>0</v>
      </c>
      <c r="AF123" s="82">
        <v>0</v>
      </c>
      <c r="AG123" s="87" t="s">
        <v>957</v>
      </c>
      <c r="AH123" s="82" t="b">
        <v>0</v>
      </c>
      <c r="AI123" s="82" t="s">
        <v>973</v>
      </c>
      <c r="AJ123" s="82"/>
      <c r="AK123" s="87" t="s">
        <v>957</v>
      </c>
      <c r="AL123" s="82" t="b">
        <v>0</v>
      </c>
      <c r="AM123" s="82">
        <v>0</v>
      </c>
      <c r="AN123" s="87" t="s">
        <v>957</v>
      </c>
      <c r="AO123" s="87" t="s">
        <v>305</v>
      </c>
      <c r="AP123" s="82" t="b">
        <v>0</v>
      </c>
      <c r="AQ123" s="87" t="s">
        <v>800</v>
      </c>
      <c r="AR123" s="82" t="s">
        <v>211</v>
      </c>
      <c r="AS123" s="82">
        <v>0</v>
      </c>
      <c r="AT123" s="82">
        <v>0</v>
      </c>
      <c r="AU123" s="82"/>
      <c r="AV123" s="82"/>
      <c r="AW123" s="82"/>
      <c r="AX123" s="82"/>
      <c r="AY123" s="82"/>
      <c r="AZ123" s="82"/>
      <c r="BA123" s="82"/>
      <c r="BB123" s="82"/>
      <c r="BC123">
        <v>142</v>
      </c>
      <c r="BD123" s="81" t="str">
        <f>REPLACE(INDEX(GroupVertices[Group],MATCH(Edges[[#This Row],[Vertex 1]],GroupVertices[Vertex],0)),1,1,"")</f>
        <v>2</v>
      </c>
      <c r="BE123" s="81" t="str">
        <f>REPLACE(INDEX(GroupVertices[Group],MATCH(Edges[[#This Row],[Vertex 2]],GroupVertices[Vertex],0)),1,1,"")</f>
        <v>2</v>
      </c>
      <c r="BF123" s="49">
        <v>0</v>
      </c>
      <c r="BG123" s="50">
        <v>0</v>
      </c>
      <c r="BH123" s="49">
        <v>0</v>
      </c>
      <c r="BI123" s="50">
        <v>0</v>
      </c>
      <c r="BJ123" s="49">
        <v>0</v>
      </c>
      <c r="BK123" s="50">
        <v>0</v>
      </c>
      <c r="BL123" s="49">
        <v>13</v>
      </c>
      <c r="BM123" s="50">
        <v>100</v>
      </c>
      <c r="BN123" s="49">
        <v>13</v>
      </c>
    </row>
    <row r="124" spans="1:66" ht="15">
      <c r="A124" s="66" t="s">
        <v>305</v>
      </c>
      <c r="B124" s="66" t="s">
        <v>305</v>
      </c>
      <c r="C124" s="67" t="s">
        <v>2140</v>
      </c>
      <c r="D124" s="68">
        <v>3</v>
      </c>
      <c r="E124" s="69" t="s">
        <v>136</v>
      </c>
      <c r="F124" s="70">
        <v>6</v>
      </c>
      <c r="G124" s="67"/>
      <c r="H124" s="71"/>
      <c r="I124" s="72"/>
      <c r="J124" s="72"/>
      <c r="K124" s="35" t="s">
        <v>65</v>
      </c>
      <c r="L124" s="80">
        <v>124</v>
      </c>
      <c r="M124" s="80"/>
      <c r="N124" s="74"/>
      <c r="O124" s="82" t="s">
        <v>211</v>
      </c>
      <c r="P124" s="84">
        <v>44722.51498842592</v>
      </c>
      <c r="Q124" s="82" t="s">
        <v>382</v>
      </c>
      <c r="R124" s="82"/>
      <c r="S124" s="82"/>
      <c r="T124" s="82"/>
      <c r="U124" s="82"/>
      <c r="V124" s="85" t="str">
        <f>HYPERLINK("https://pbs.twimg.com/profile_images/825717962481029123/h6cXfTnb_normal.jpg")</f>
        <v>https://pbs.twimg.com/profile_images/825717962481029123/h6cXfTnb_normal.jpg</v>
      </c>
      <c r="W124" s="84">
        <v>44722.51498842592</v>
      </c>
      <c r="X124" s="89">
        <v>44722</v>
      </c>
      <c r="Y124" s="87" t="s">
        <v>612</v>
      </c>
      <c r="Z124" s="85" t="str">
        <f>HYPERLINK("https://twitter.com/chombotofficial/status/1535235728011042817")</f>
        <v>https://twitter.com/chombotofficial/status/1535235728011042817</v>
      </c>
      <c r="AA124" s="82"/>
      <c r="AB124" s="82"/>
      <c r="AC124" s="87" t="s">
        <v>801</v>
      </c>
      <c r="AD124" s="82"/>
      <c r="AE124" s="82" t="b">
        <v>0</v>
      </c>
      <c r="AF124" s="82">
        <v>0</v>
      </c>
      <c r="AG124" s="87" t="s">
        <v>957</v>
      </c>
      <c r="AH124" s="82" t="b">
        <v>0</v>
      </c>
      <c r="AI124" s="82" t="s">
        <v>973</v>
      </c>
      <c r="AJ124" s="82"/>
      <c r="AK124" s="87" t="s">
        <v>957</v>
      </c>
      <c r="AL124" s="82" t="b">
        <v>0</v>
      </c>
      <c r="AM124" s="82">
        <v>0</v>
      </c>
      <c r="AN124" s="87" t="s">
        <v>957</v>
      </c>
      <c r="AO124" s="87" t="s">
        <v>305</v>
      </c>
      <c r="AP124" s="82" t="b">
        <v>0</v>
      </c>
      <c r="AQ124" s="87" t="s">
        <v>801</v>
      </c>
      <c r="AR124" s="82" t="s">
        <v>211</v>
      </c>
      <c r="AS124" s="82">
        <v>0</v>
      </c>
      <c r="AT124" s="82">
        <v>0</v>
      </c>
      <c r="AU124" s="82"/>
      <c r="AV124" s="82"/>
      <c r="AW124" s="82"/>
      <c r="AX124" s="82"/>
      <c r="AY124" s="82"/>
      <c r="AZ124" s="82"/>
      <c r="BA124" s="82"/>
      <c r="BB124" s="82"/>
      <c r="BC124">
        <v>142</v>
      </c>
      <c r="BD124" s="81" t="str">
        <f>REPLACE(INDEX(GroupVertices[Group],MATCH(Edges[[#This Row],[Vertex 1]],GroupVertices[Vertex],0)),1,1,"")</f>
        <v>2</v>
      </c>
      <c r="BE124" s="81" t="str">
        <f>REPLACE(INDEX(GroupVertices[Group],MATCH(Edges[[#This Row],[Vertex 2]],GroupVertices[Vertex],0)),1,1,"")</f>
        <v>2</v>
      </c>
      <c r="BF124" s="49">
        <v>0</v>
      </c>
      <c r="BG124" s="50">
        <v>0</v>
      </c>
      <c r="BH124" s="49">
        <v>0</v>
      </c>
      <c r="BI124" s="50">
        <v>0</v>
      </c>
      <c r="BJ124" s="49">
        <v>0</v>
      </c>
      <c r="BK124" s="50">
        <v>0</v>
      </c>
      <c r="BL124" s="49">
        <v>10</v>
      </c>
      <c r="BM124" s="50">
        <v>100</v>
      </c>
      <c r="BN124" s="49">
        <v>10</v>
      </c>
    </row>
    <row r="125" spans="1:66" ht="15">
      <c r="A125" s="66" t="s">
        <v>305</v>
      </c>
      <c r="B125" s="66" t="s">
        <v>305</v>
      </c>
      <c r="C125" s="67" t="s">
        <v>2140</v>
      </c>
      <c r="D125" s="68">
        <v>3</v>
      </c>
      <c r="E125" s="69" t="s">
        <v>136</v>
      </c>
      <c r="F125" s="70">
        <v>6</v>
      </c>
      <c r="G125" s="67"/>
      <c r="H125" s="71"/>
      <c r="I125" s="72"/>
      <c r="J125" s="72"/>
      <c r="K125" s="35" t="s">
        <v>65</v>
      </c>
      <c r="L125" s="80">
        <v>125</v>
      </c>
      <c r="M125" s="80"/>
      <c r="N125" s="74"/>
      <c r="O125" s="82" t="s">
        <v>211</v>
      </c>
      <c r="P125" s="84">
        <v>44722.636516203704</v>
      </c>
      <c r="Q125" s="82" t="s">
        <v>383</v>
      </c>
      <c r="R125" s="82"/>
      <c r="S125" s="82"/>
      <c r="T125" s="82"/>
      <c r="U125" s="82"/>
      <c r="V125" s="85" t="str">
        <f>HYPERLINK("https://pbs.twimg.com/profile_images/825717962481029123/h6cXfTnb_normal.jpg")</f>
        <v>https://pbs.twimg.com/profile_images/825717962481029123/h6cXfTnb_normal.jpg</v>
      </c>
      <c r="W125" s="84">
        <v>44722.636516203704</v>
      </c>
      <c r="X125" s="89">
        <v>44722</v>
      </c>
      <c r="Y125" s="87" t="s">
        <v>613</v>
      </c>
      <c r="Z125" s="85" t="str">
        <f>HYPERLINK("https://twitter.com/chombotofficial/status/1535279769448861696")</f>
        <v>https://twitter.com/chombotofficial/status/1535279769448861696</v>
      </c>
      <c r="AA125" s="82"/>
      <c r="AB125" s="82"/>
      <c r="AC125" s="87" t="s">
        <v>802</v>
      </c>
      <c r="AD125" s="82"/>
      <c r="AE125" s="82" t="b">
        <v>0</v>
      </c>
      <c r="AF125" s="82">
        <v>0</v>
      </c>
      <c r="AG125" s="87" t="s">
        <v>957</v>
      </c>
      <c r="AH125" s="82" t="b">
        <v>0</v>
      </c>
      <c r="AI125" s="82" t="s">
        <v>973</v>
      </c>
      <c r="AJ125" s="82"/>
      <c r="AK125" s="87" t="s">
        <v>957</v>
      </c>
      <c r="AL125" s="82" t="b">
        <v>0</v>
      </c>
      <c r="AM125" s="82">
        <v>0</v>
      </c>
      <c r="AN125" s="87" t="s">
        <v>957</v>
      </c>
      <c r="AO125" s="87" t="s">
        <v>305</v>
      </c>
      <c r="AP125" s="82" t="b">
        <v>0</v>
      </c>
      <c r="AQ125" s="87" t="s">
        <v>802</v>
      </c>
      <c r="AR125" s="82" t="s">
        <v>211</v>
      </c>
      <c r="AS125" s="82">
        <v>0</v>
      </c>
      <c r="AT125" s="82">
        <v>0</v>
      </c>
      <c r="AU125" s="82"/>
      <c r="AV125" s="82"/>
      <c r="AW125" s="82"/>
      <c r="AX125" s="82"/>
      <c r="AY125" s="82"/>
      <c r="AZ125" s="82"/>
      <c r="BA125" s="82"/>
      <c r="BB125" s="82"/>
      <c r="BC125">
        <v>142</v>
      </c>
      <c r="BD125" s="81" t="str">
        <f>REPLACE(INDEX(GroupVertices[Group],MATCH(Edges[[#This Row],[Vertex 1]],GroupVertices[Vertex],0)),1,1,"")</f>
        <v>2</v>
      </c>
      <c r="BE125" s="81" t="str">
        <f>REPLACE(INDEX(GroupVertices[Group],MATCH(Edges[[#This Row],[Vertex 2]],GroupVertices[Vertex],0)),1,1,"")</f>
        <v>2</v>
      </c>
      <c r="BF125" s="49">
        <v>0</v>
      </c>
      <c r="BG125" s="50">
        <v>0</v>
      </c>
      <c r="BH125" s="49">
        <v>0</v>
      </c>
      <c r="BI125" s="50">
        <v>0</v>
      </c>
      <c r="BJ125" s="49">
        <v>0</v>
      </c>
      <c r="BK125" s="50">
        <v>0</v>
      </c>
      <c r="BL125" s="49">
        <v>20</v>
      </c>
      <c r="BM125" s="50">
        <v>100</v>
      </c>
      <c r="BN125" s="49">
        <v>20</v>
      </c>
    </row>
    <row r="126" spans="1:66" ht="15">
      <c r="A126" s="66" t="s">
        <v>305</v>
      </c>
      <c r="B126" s="66" t="s">
        <v>305</v>
      </c>
      <c r="C126" s="67" t="s">
        <v>2140</v>
      </c>
      <c r="D126" s="68">
        <v>3</v>
      </c>
      <c r="E126" s="69" t="s">
        <v>136</v>
      </c>
      <c r="F126" s="70">
        <v>6</v>
      </c>
      <c r="G126" s="67"/>
      <c r="H126" s="71"/>
      <c r="I126" s="72"/>
      <c r="J126" s="72"/>
      <c r="K126" s="35" t="s">
        <v>65</v>
      </c>
      <c r="L126" s="80">
        <v>126</v>
      </c>
      <c r="M126" s="80"/>
      <c r="N126" s="74"/>
      <c r="O126" s="82" t="s">
        <v>211</v>
      </c>
      <c r="P126" s="84">
        <v>44722.65734953704</v>
      </c>
      <c r="Q126" s="82" t="s">
        <v>384</v>
      </c>
      <c r="R126" s="82"/>
      <c r="S126" s="82"/>
      <c r="T126" s="82"/>
      <c r="U126" s="82"/>
      <c r="V126" s="85" t="str">
        <f>HYPERLINK("https://pbs.twimg.com/profile_images/825717962481029123/h6cXfTnb_normal.jpg")</f>
        <v>https://pbs.twimg.com/profile_images/825717962481029123/h6cXfTnb_normal.jpg</v>
      </c>
      <c r="W126" s="84">
        <v>44722.65734953704</v>
      </c>
      <c r="X126" s="89">
        <v>44722</v>
      </c>
      <c r="Y126" s="87" t="s">
        <v>614</v>
      </c>
      <c r="Z126" s="85" t="str">
        <f>HYPERLINK("https://twitter.com/chombotofficial/status/1535287317853876228")</f>
        <v>https://twitter.com/chombotofficial/status/1535287317853876228</v>
      </c>
      <c r="AA126" s="82"/>
      <c r="AB126" s="82"/>
      <c r="AC126" s="87" t="s">
        <v>803</v>
      </c>
      <c r="AD126" s="82"/>
      <c r="AE126" s="82" t="b">
        <v>0</v>
      </c>
      <c r="AF126" s="82">
        <v>0</v>
      </c>
      <c r="AG126" s="87" t="s">
        <v>957</v>
      </c>
      <c r="AH126" s="82" t="b">
        <v>0</v>
      </c>
      <c r="AI126" s="82" t="s">
        <v>973</v>
      </c>
      <c r="AJ126" s="82"/>
      <c r="AK126" s="87" t="s">
        <v>957</v>
      </c>
      <c r="AL126" s="82" t="b">
        <v>0</v>
      </c>
      <c r="AM126" s="82">
        <v>0</v>
      </c>
      <c r="AN126" s="87" t="s">
        <v>957</v>
      </c>
      <c r="AO126" s="87" t="s">
        <v>305</v>
      </c>
      <c r="AP126" s="82" t="b">
        <v>0</v>
      </c>
      <c r="AQ126" s="87" t="s">
        <v>803</v>
      </c>
      <c r="AR126" s="82" t="s">
        <v>211</v>
      </c>
      <c r="AS126" s="82">
        <v>0</v>
      </c>
      <c r="AT126" s="82">
        <v>0</v>
      </c>
      <c r="AU126" s="82"/>
      <c r="AV126" s="82"/>
      <c r="AW126" s="82"/>
      <c r="AX126" s="82"/>
      <c r="AY126" s="82"/>
      <c r="AZ126" s="82"/>
      <c r="BA126" s="82"/>
      <c r="BB126" s="82"/>
      <c r="BC126">
        <v>142</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6" t="s">
        <v>305</v>
      </c>
      <c r="B127" s="66" t="s">
        <v>305</v>
      </c>
      <c r="C127" s="67" t="s">
        <v>2140</v>
      </c>
      <c r="D127" s="68">
        <v>3</v>
      </c>
      <c r="E127" s="69" t="s">
        <v>136</v>
      </c>
      <c r="F127" s="70">
        <v>6</v>
      </c>
      <c r="G127" s="67"/>
      <c r="H127" s="71"/>
      <c r="I127" s="72"/>
      <c r="J127" s="72"/>
      <c r="K127" s="35" t="s">
        <v>65</v>
      </c>
      <c r="L127" s="80">
        <v>127</v>
      </c>
      <c r="M127" s="80"/>
      <c r="N127" s="74"/>
      <c r="O127" s="82" t="s">
        <v>211</v>
      </c>
      <c r="P127" s="84">
        <v>44722.792766203704</v>
      </c>
      <c r="Q127" s="82" t="s">
        <v>385</v>
      </c>
      <c r="R127" s="82"/>
      <c r="S127" s="82"/>
      <c r="T127" s="82"/>
      <c r="U127" s="82"/>
      <c r="V127" s="85" t="str">
        <f>HYPERLINK("https://pbs.twimg.com/profile_images/825717962481029123/h6cXfTnb_normal.jpg")</f>
        <v>https://pbs.twimg.com/profile_images/825717962481029123/h6cXfTnb_normal.jpg</v>
      </c>
      <c r="W127" s="84">
        <v>44722.792766203704</v>
      </c>
      <c r="X127" s="89">
        <v>44722</v>
      </c>
      <c r="Y127" s="87" t="s">
        <v>615</v>
      </c>
      <c r="Z127" s="85" t="str">
        <f>HYPERLINK("https://twitter.com/chombotofficial/status/1535336391600750593")</f>
        <v>https://twitter.com/chombotofficial/status/1535336391600750593</v>
      </c>
      <c r="AA127" s="82"/>
      <c r="AB127" s="82"/>
      <c r="AC127" s="87" t="s">
        <v>804</v>
      </c>
      <c r="AD127" s="82"/>
      <c r="AE127" s="82" t="b">
        <v>0</v>
      </c>
      <c r="AF127" s="82">
        <v>0</v>
      </c>
      <c r="AG127" s="87" t="s">
        <v>957</v>
      </c>
      <c r="AH127" s="82" t="b">
        <v>0</v>
      </c>
      <c r="AI127" s="82" t="s">
        <v>973</v>
      </c>
      <c r="AJ127" s="82"/>
      <c r="AK127" s="87" t="s">
        <v>957</v>
      </c>
      <c r="AL127" s="82" t="b">
        <v>0</v>
      </c>
      <c r="AM127" s="82">
        <v>0</v>
      </c>
      <c r="AN127" s="87" t="s">
        <v>957</v>
      </c>
      <c r="AO127" s="87" t="s">
        <v>305</v>
      </c>
      <c r="AP127" s="82" t="b">
        <v>0</v>
      </c>
      <c r="AQ127" s="87" t="s">
        <v>804</v>
      </c>
      <c r="AR127" s="82" t="s">
        <v>211</v>
      </c>
      <c r="AS127" s="82">
        <v>0</v>
      </c>
      <c r="AT127" s="82">
        <v>0</v>
      </c>
      <c r="AU127" s="82"/>
      <c r="AV127" s="82"/>
      <c r="AW127" s="82"/>
      <c r="AX127" s="82"/>
      <c r="AY127" s="82"/>
      <c r="AZ127" s="82"/>
      <c r="BA127" s="82"/>
      <c r="BB127" s="82"/>
      <c r="BC127">
        <v>142</v>
      </c>
      <c r="BD127" s="81" t="str">
        <f>REPLACE(INDEX(GroupVertices[Group],MATCH(Edges[[#This Row],[Vertex 1]],GroupVertices[Vertex],0)),1,1,"")</f>
        <v>2</v>
      </c>
      <c r="BE127" s="81"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6" t="s">
        <v>305</v>
      </c>
      <c r="B128" s="66" t="s">
        <v>305</v>
      </c>
      <c r="C128" s="67" t="s">
        <v>2140</v>
      </c>
      <c r="D128" s="68">
        <v>3</v>
      </c>
      <c r="E128" s="69" t="s">
        <v>136</v>
      </c>
      <c r="F128" s="70">
        <v>6</v>
      </c>
      <c r="G128" s="67"/>
      <c r="H128" s="71"/>
      <c r="I128" s="72"/>
      <c r="J128" s="72"/>
      <c r="K128" s="35" t="s">
        <v>65</v>
      </c>
      <c r="L128" s="80">
        <v>128</v>
      </c>
      <c r="M128" s="80"/>
      <c r="N128" s="74"/>
      <c r="O128" s="82" t="s">
        <v>211</v>
      </c>
      <c r="P128" s="84">
        <v>44722.83443287037</v>
      </c>
      <c r="Q128" s="82" t="s">
        <v>386</v>
      </c>
      <c r="R128" s="82"/>
      <c r="S128" s="82"/>
      <c r="T128" s="82"/>
      <c r="U128" s="82"/>
      <c r="V128" s="85" t="str">
        <f>HYPERLINK("https://pbs.twimg.com/profile_images/825717962481029123/h6cXfTnb_normal.jpg")</f>
        <v>https://pbs.twimg.com/profile_images/825717962481029123/h6cXfTnb_normal.jpg</v>
      </c>
      <c r="W128" s="84">
        <v>44722.83443287037</v>
      </c>
      <c r="X128" s="89">
        <v>44722</v>
      </c>
      <c r="Y128" s="87" t="s">
        <v>616</v>
      </c>
      <c r="Z128" s="85" t="str">
        <f>HYPERLINK("https://twitter.com/chombotofficial/status/1535351488742039553")</f>
        <v>https://twitter.com/chombotofficial/status/1535351488742039553</v>
      </c>
      <c r="AA128" s="82"/>
      <c r="AB128" s="82"/>
      <c r="AC128" s="87" t="s">
        <v>805</v>
      </c>
      <c r="AD128" s="82"/>
      <c r="AE128" s="82" t="b">
        <v>0</v>
      </c>
      <c r="AF128" s="82">
        <v>0</v>
      </c>
      <c r="AG128" s="87" t="s">
        <v>957</v>
      </c>
      <c r="AH128" s="82" t="b">
        <v>0</v>
      </c>
      <c r="AI128" s="82" t="s">
        <v>973</v>
      </c>
      <c r="AJ128" s="82"/>
      <c r="AK128" s="87" t="s">
        <v>957</v>
      </c>
      <c r="AL128" s="82" t="b">
        <v>0</v>
      </c>
      <c r="AM128" s="82">
        <v>0</v>
      </c>
      <c r="AN128" s="87" t="s">
        <v>957</v>
      </c>
      <c r="AO128" s="87" t="s">
        <v>305</v>
      </c>
      <c r="AP128" s="82" t="b">
        <v>0</v>
      </c>
      <c r="AQ128" s="87" t="s">
        <v>805</v>
      </c>
      <c r="AR128" s="82" t="s">
        <v>211</v>
      </c>
      <c r="AS128" s="82">
        <v>0</v>
      </c>
      <c r="AT128" s="82">
        <v>0</v>
      </c>
      <c r="AU128" s="82"/>
      <c r="AV128" s="82"/>
      <c r="AW128" s="82"/>
      <c r="AX128" s="82"/>
      <c r="AY128" s="82"/>
      <c r="AZ128" s="82"/>
      <c r="BA128" s="82"/>
      <c r="BB128" s="82"/>
      <c r="BC128">
        <v>142</v>
      </c>
      <c r="BD128" s="81" t="str">
        <f>REPLACE(INDEX(GroupVertices[Group],MATCH(Edges[[#This Row],[Vertex 1]],GroupVertices[Vertex],0)),1,1,"")</f>
        <v>2</v>
      </c>
      <c r="BE128" s="81" t="str">
        <f>REPLACE(INDEX(GroupVertices[Group],MATCH(Edges[[#This Row],[Vertex 2]],GroupVertices[Vertex],0)),1,1,"")</f>
        <v>2</v>
      </c>
      <c r="BF128" s="49">
        <v>0</v>
      </c>
      <c r="BG128" s="50">
        <v>0</v>
      </c>
      <c r="BH128" s="49">
        <v>1</v>
      </c>
      <c r="BI128" s="50">
        <v>4.545454545454546</v>
      </c>
      <c r="BJ128" s="49">
        <v>0</v>
      </c>
      <c r="BK128" s="50">
        <v>0</v>
      </c>
      <c r="BL128" s="49">
        <v>21</v>
      </c>
      <c r="BM128" s="50">
        <v>95.45454545454545</v>
      </c>
      <c r="BN128" s="49">
        <v>22</v>
      </c>
    </row>
    <row r="129" spans="1:66" ht="15">
      <c r="A129" s="66" t="s">
        <v>305</v>
      </c>
      <c r="B129" s="66" t="s">
        <v>305</v>
      </c>
      <c r="C129" s="67" t="s">
        <v>2140</v>
      </c>
      <c r="D129" s="68">
        <v>3</v>
      </c>
      <c r="E129" s="69" t="s">
        <v>136</v>
      </c>
      <c r="F129" s="70">
        <v>6</v>
      </c>
      <c r="G129" s="67"/>
      <c r="H129" s="71"/>
      <c r="I129" s="72"/>
      <c r="J129" s="72"/>
      <c r="K129" s="35" t="s">
        <v>65</v>
      </c>
      <c r="L129" s="80">
        <v>129</v>
      </c>
      <c r="M129" s="80"/>
      <c r="N129" s="74"/>
      <c r="O129" s="82" t="s">
        <v>211</v>
      </c>
      <c r="P129" s="84">
        <v>44722.89346064815</v>
      </c>
      <c r="Q129" s="82" t="s">
        <v>387</v>
      </c>
      <c r="R129" s="82"/>
      <c r="S129" s="82"/>
      <c r="T129" s="82"/>
      <c r="U129" s="82"/>
      <c r="V129" s="85" t="str">
        <f>HYPERLINK("https://pbs.twimg.com/profile_images/825717962481029123/h6cXfTnb_normal.jpg")</f>
        <v>https://pbs.twimg.com/profile_images/825717962481029123/h6cXfTnb_normal.jpg</v>
      </c>
      <c r="W129" s="84">
        <v>44722.89346064815</v>
      </c>
      <c r="X129" s="89">
        <v>44722</v>
      </c>
      <c r="Y129" s="87" t="s">
        <v>617</v>
      </c>
      <c r="Z129" s="85" t="str">
        <f>HYPERLINK("https://twitter.com/chombotofficial/status/1535372879650779136")</f>
        <v>https://twitter.com/chombotofficial/status/1535372879650779136</v>
      </c>
      <c r="AA129" s="82"/>
      <c r="AB129" s="82"/>
      <c r="AC129" s="87" t="s">
        <v>806</v>
      </c>
      <c r="AD129" s="82"/>
      <c r="AE129" s="82" t="b">
        <v>0</v>
      </c>
      <c r="AF129" s="82">
        <v>0</v>
      </c>
      <c r="AG129" s="87" t="s">
        <v>957</v>
      </c>
      <c r="AH129" s="82" t="b">
        <v>0</v>
      </c>
      <c r="AI129" s="82" t="s">
        <v>973</v>
      </c>
      <c r="AJ129" s="82"/>
      <c r="AK129" s="87" t="s">
        <v>957</v>
      </c>
      <c r="AL129" s="82" t="b">
        <v>0</v>
      </c>
      <c r="AM129" s="82">
        <v>0</v>
      </c>
      <c r="AN129" s="87" t="s">
        <v>957</v>
      </c>
      <c r="AO129" s="87" t="s">
        <v>305</v>
      </c>
      <c r="AP129" s="82" t="b">
        <v>0</v>
      </c>
      <c r="AQ129" s="87" t="s">
        <v>806</v>
      </c>
      <c r="AR129" s="82" t="s">
        <v>211</v>
      </c>
      <c r="AS129" s="82">
        <v>0</v>
      </c>
      <c r="AT129" s="82">
        <v>0</v>
      </c>
      <c r="AU129" s="82"/>
      <c r="AV129" s="82"/>
      <c r="AW129" s="82"/>
      <c r="AX129" s="82"/>
      <c r="AY129" s="82"/>
      <c r="AZ129" s="82"/>
      <c r="BA129" s="82"/>
      <c r="BB129" s="82"/>
      <c r="BC129">
        <v>142</v>
      </c>
      <c r="BD129" s="81" t="str">
        <f>REPLACE(INDEX(GroupVertices[Group],MATCH(Edges[[#This Row],[Vertex 1]],GroupVertices[Vertex],0)),1,1,"")</f>
        <v>2</v>
      </c>
      <c r="BE129" s="81" t="str">
        <f>REPLACE(INDEX(GroupVertices[Group],MATCH(Edges[[#This Row],[Vertex 2]],GroupVertices[Vertex],0)),1,1,"")</f>
        <v>2</v>
      </c>
      <c r="BF129" s="49">
        <v>0</v>
      </c>
      <c r="BG129" s="50">
        <v>0</v>
      </c>
      <c r="BH129" s="49">
        <v>1</v>
      </c>
      <c r="BI129" s="50">
        <v>4.545454545454546</v>
      </c>
      <c r="BJ129" s="49">
        <v>0</v>
      </c>
      <c r="BK129" s="50">
        <v>0</v>
      </c>
      <c r="BL129" s="49">
        <v>21</v>
      </c>
      <c r="BM129" s="50">
        <v>95.45454545454545</v>
      </c>
      <c r="BN129" s="49">
        <v>22</v>
      </c>
    </row>
    <row r="130" spans="1:66" ht="15">
      <c r="A130" s="66" t="s">
        <v>305</v>
      </c>
      <c r="B130" s="66" t="s">
        <v>305</v>
      </c>
      <c r="C130" s="67" t="s">
        <v>2140</v>
      </c>
      <c r="D130" s="68">
        <v>3</v>
      </c>
      <c r="E130" s="69" t="s">
        <v>136</v>
      </c>
      <c r="F130" s="70">
        <v>6</v>
      </c>
      <c r="G130" s="67"/>
      <c r="H130" s="71"/>
      <c r="I130" s="72"/>
      <c r="J130" s="72"/>
      <c r="K130" s="35" t="s">
        <v>65</v>
      </c>
      <c r="L130" s="80">
        <v>130</v>
      </c>
      <c r="M130" s="80"/>
      <c r="N130" s="74"/>
      <c r="O130" s="82" t="s">
        <v>211</v>
      </c>
      <c r="P130" s="84">
        <v>44722.917766203704</v>
      </c>
      <c r="Q130" s="82" t="s">
        <v>388</v>
      </c>
      <c r="R130" s="82"/>
      <c r="S130" s="82"/>
      <c r="T130" s="82"/>
      <c r="U130" s="82"/>
      <c r="V130" s="85" t="str">
        <f>HYPERLINK("https://pbs.twimg.com/profile_images/825717962481029123/h6cXfTnb_normal.jpg")</f>
        <v>https://pbs.twimg.com/profile_images/825717962481029123/h6cXfTnb_normal.jpg</v>
      </c>
      <c r="W130" s="84">
        <v>44722.917766203704</v>
      </c>
      <c r="X130" s="89">
        <v>44722</v>
      </c>
      <c r="Y130" s="87" t="s">
        <v>618</v>
      </c>
      <c r="Z130" s="85" t="str">
        <f>HYPERLINK("https://twitter.com/chombotofficial/status/1535381689073025029")</f>
        <v>https://twitter.com/chombotofficial/status/1535381689073025029</v>
      </c>
      <c r="AA130" s="82"/>
      <c r="AB130" s="82"/>
      <c r="AC130" s="87" t="s">
        <v>807</v>
      </c>
      <c r="AD130" s="82"/>
      <c r="AE130" s="82" t="b">
        <v>0</v>
      </c>
      <c r="AF130" s="82">
        <v>0</v>
      </c>
      <c r="AG130" s="87" t="s">
        <v>957</v>
      </c>
      <c r="AH130" s="82" t="b">
        <v>0</v>
      </c>
      <c r="AI130" s="82" t="s">
        <v>973</v>
      </c>
      <c r="AJ130" s="82"/>
      <c r="AK130" s="87" t="s">
        <v>957</v>
      </c>
      <c r="AL130" s="82" t="b">
        <v>0</v>
      </c>
      <c r="AM130" s="82">
        <v>0</v>
      </c>
      <c r="AN130" s="87" t="s">
        <v>957</v>
      </c>
      <c r="AO130" s="87" t="s">
        <v>305</v>
      </c>
      <c r="AP130" s="82" t="b">
        <v>0</v>
      </c>
      <c r="AQ130" s="87" t="s">
        <v>807</v>
      </c>
      <c r="AR130" s="82" t="s">
        <v>211</v>
      </c>
      <c r="AS130" s="82">
        <v>0</v>
      </c>
      <c r="AT130" s="82">
        <v>0</v>
      </c>
      <c r="AU130" s="82"/>
      <c r="AV130" s="82"/>
      <c r="AW130" s="82"/>
      <c r="AX130" s="82"/>
      <c r="AY130" s="82"/>
      <c r="AZ130" s="82"/>
      <c r="BA130" s="82"/>
      <c r="BB130" s="82"/>
      <c r="BC130">
        <v>142</v>
      </c>
      <c r="BD130" s="81" t="str">
        <f>REPLACE(INDEX(GroupVertices[Group],MATCH(Edges[[#This Row],[Vertex 1]],GroupVertices[Vertex],0)),1,1,"")</f>
        <v>2</v>
      </c>
      <c r="BE130" s="81" t="str">
        <f>REPLACE(INDEX(GroupVertices[Group],MATCH(Edges[[#This Row],[Vertex 2]],GroupVertices[Vertex],0)),1,1,"")</f>
        <v>2</v>
      </c>
      <c r="BF130" s="49">
        <v>0</v>
      </c>
      <c r="BG130" s="50">
        <v>0</v>
      </c>
      <c r="BH130" s="49">
        <v>1</v>
      </c>
      <c r="BI130" s="50">
        <v>5</v>
      </c>
      <c r="BJ130" s="49">
        <v>0</v>
      </c>
      <c r="BK130" s="50">
        <v>0</v>
      </c>
      <c r="BL130" s="49">
        <v>19</v>
      </c>
      <c r="BM130" s="50">
        <v>95</v>
      </c>
      <c r="BN130" s="49">
        <v>20</v>
      </c>
    </row>
    <row r="131" spans="1:66" ht="15">
      <c r="A131" s="66" t="s">
        <v>305</v>
      </c>
      <c r="B131" s="66" t="s">
        <v>305</v>
      </c>
      <c r="C131" s="67" t="s">
        <v>2140</v>
      </c>
      <c r="D131" s="68">
        <v>3</v>
      </c>
      <c r="E131" s="69" t="s">
        <v>136</v>
      </c>
      <c r="F131" s="70">
        <v>6</v>
      </c>
      <c r="G131" s="67"/>
      <c r="H131" s="71"/>
      <c r="I131" s="72"/>
      <c r="J131" s="72"/>
      <c r="K131" s="35" t="s">
        <v>65</v>
      </c>
      <c r="L131" s="80">
        <v>131</v>
      </c>
      <c r="M131" s="80"/>
      <c r="N131" s="74"/>
      <c r="O131" s="82" t="s">
        <v>211</v>
      </c>
      <c r="P131" s="84">
        <v>44722.976793981485</v>
      </c>
      <c r="Q131" s="82" t="s">
        <v>389</v>
      </c>
      <c r="R131" s="82"/>
      <c r="S131" s="82"/>
      <c r="T131" s="82"/>
      <c r="U131" s="82"/>
      <c r="V131" s="85" t="str">
        <f>HYPERLINK("https://pbs.twimg.com/profile_images/825717962481029123/h6cXfTnb_normal.jpg")</f>
        <v>https://pbs.twimg.com/profile_images/825717962481029123/h6cXfTnb_normal.jpg</v>
      </c>
      <c r="W131" s="84">
        <v>44722.976793981485</v>
      </c>
      <c r="X131" s="89">
        <v>44722</v>
      </c>
      <c r="Y131" s="87" t="s">
        <v>619</v>
      </c>
      <c r="Z131" s="85" t="str">
        <f>HYPERLINK("https://twitter.com/chombotofficial/status/1535403079389962240")</f>
        <v>https://twitter.com/chombotofficial/status/1535403079389962240</v>
      </c>
      <c r="AA131" s="82"/>
      <c r="AB131" s="82"/>
      <c r="AC131" s="87" t="s">
        <v>808</v>
      </c>
      <c r="AD131" s="82"/>
      <c r="AE131" s="82" t="b">
        <v>0</v>
      </c>
      <c r="AF131" s="82">
        <v>0</v>
      </c>
      <c r="AG131" s="87" t="s">
        <v>957</v>
      </c>
      <c r="AH131" s="82" t="b">
        <v>0</v>
      </c>
      <c r="AI131" s="82" t="s">
        <v>973</v>
      </c>
      <c r="AJ131" s="82"/>
      <c r="AK131" s="87" t="s">
        <v>957</v>
      </c>
      <c r="AL131" s="82" t="b">
        <v>0</v>
      </c>
      <c r="AM131" s="82">
        <v>0</v>
      </c>
      <c r="AN131" s="87" t="s">
        <v>957</v>
      </c>
      <c r="AO131" s="87" t="s">
        <v>305</v>
      </c>
      <c r="AP131" s="82" t="b">
        <v>0</v>
      </c>
      <c r="AQ131" s="87" t="s">
        <v>808</v>
      </c>
      <c r="AR131" s="82" t="s">
        <v>211</v>
      </c>
      <c r="AS131" s="82">
        <v>0</v>
      </c>
      <c r="AT131" s="82">
        <v>0</v>
      </c>
      <c r="AU131" s="82"/>
      <c r="AV131" s="82"/>
      <c r="AW131" s="82"/>
      <c r="AX131" s="82"/>
      <c r="AY131" s="82"/>
      <c r="AZ131" s="82"/>
      <c r="BA131" s="82"/>
      <c r="BB131" s="82"/>
      <c r="BC131">
        <v>142</v>
      </c>
      <c r="BD131" s="81" t="str">
        <f>REPLACE(INDEX(GroupVertices[Group],MATCH(Edges[[#This Row],[Vertex 1]],GroupVertices[Vertex],0)),1,1,"")</f>
        <v>2</v>
      </c>
      <c r="BE131" s="81" t="str">
        <f>REPLACE(INDEX(GroupVertices[Group],MATCH(Edges[[#This Row],[Vertex 2]],GroupVertices[Vertex],0)),1,1,"")</f>
        <v>2</v>
      </c>
      <c r="BF131" s="49">
        <v>2</v>
      </c>
      <c r="BG131" s="50">
        <v>8.695652173913043</v>
      </c>
      <c r="BH131" s="49">
        <v>0</v>
      </c>
      <c r="BI131" s="50">
        <v>0</v>
      </c>
      <c r="BJ131" s="49">
        <v>0</v>
      </c>
      <c r="BK131" s="50">
        <v>0</v>
      </c>
      <c r="BL131" s="49">
        <v>21</v>
      </c>
      <c r="BM131" s="50">
        <v>91.30434782608695</v>
      </c>
      <c r="BN131" s="49">
        <v>23</v>
      </c>
    </row>
    <row r="132" spans="1:66" ht="15">
      <c r="A132" s="66" t="s">
        <v>305</v>
      </c>
      <c r="B132" s="66" t="s">
        <v>305</v>
      </c>
      <c r="C132" s="67" t="s">
        <v>2140</v>
      </c>
      <c r="D132" s="68">
        <v>3</v>
      </c>
      <c r="E132" s="69" t="s">
        <v>136</v>
      </c>
      <c r="F132" s="70">
        <v>6</v>
      </c>
      <c r="G132" s="67"/>
      <c r="H132" s="71"/>
      <c r="I132" s="72"/>
      <c r="J132" s="72"/>
      <c r="K132" s="35" t="s">
        <v>65</v>
      </c>
      <c r="L132" s="80">
        <v>132</v>
      </c>
      <c r="M132" s="80"/>
      <c r="N132" s="74"/>
      <c r="O132" s="82" t="s">
        <v>211</v>
      </c>
      <c r="P132" s="84">
        <v>44723.00457175926</v>
      </c>
      <c r="Q132" s="82" t="s">
        <v>390</v>
      </c>
      <c r="R132" s="82"/>
      <c r="S132" s="82"/>
      <c r="T132" s="82"/>
      <c r="U132" s="82"/>
      <c r="V132" s="85" t="str">
        <f>HYPERLINK("https://pbs.twimg.com/profile_images/825717962481029123/h6cXfTnb_normal.jpg")</f>
        <v>https://pbs.twimg.com/profile_images/825717962481029123/h6cXfTnb_normal.jpg</v>
      </c>
      <c r="W132" s="84">
        <v>44723.00457175926</v>
      </c>
      <c r="X132" s="89">
        <v>44723</v>
      </c>
      <c r="Y132" s="87" t="s">
        <v>620</v>
      </c>
      <c r="Z132" s="85" t="str">
        <f>HYPERLINK("https://twitter.com/chombotofficial/status/1535413145623314434")</f>
        <v>https://twitter.com/chombotofficial/status/1535413145623314434</v>
      </c>
      <c r="AA132" s="82"/>
      <c r="AB132" s="82"/>
      <c r="AC132" s="87" t="s">
        <v>809</v>
      </c>
      <c r="AD132" s="82"/>
      <c r="AE132" s="82" t="b">
        <v>0</v>
      </c>
      <c r="AF132" s="82">
        <v>0</v>
      </c>
      <c r="AG132" s="87" t="s">
        <v>957</v>
      </c>
      <c r="AH132" s="82" t="b">
        <v>0</v>
      </c>
      <c r="AI132" s="82" t="s">
        <v>973</v>
      </c>
      <c r="AJ132" s="82"/>
      <c r="AK132" s="87" t="s">
        <v>957</v>
      </c>
      <c r="AL132" s="82" t="b">
        <v>0</v>
      </c>
      <c r="AM132" s="82">
        <v>0</v>
      </c>
      <c r="AN132" s="87" t="s">
        <v>957</v>
      </c>
      <c r="AO132" s="87" t="s">
        <v>305</v>
      </c>
      <c r="AP132" s="82" t="b">
        <v>0</v>
      </c>
      <c r="AQ132" s="87" t="s">
        <v>809</v>
      </c>
      <c r="AR132" s="82" t="s">
        <v>211</v>
      </c>
      <c r="AS132" s="82">
        <v>0</v>
      </c>
      <c r="AT132" s="82">
        <v>0</v>
      </c>
      <c r="AU132" s="82"/>
      <c r="AV132" s="82"/>
      <c r="AW132" s="82"/>
      <c r="AX132" s="82"/>
      <c r="AY132" s="82"/>
      <c r="AZ132" s="82"/>
      <c r="BA132" s="82"/>
      <c r="BB132" s="82"/>
      <c r="BC132">
        <v>142</v>
      </c>
      <c r="BD132" s="81" t="str">
        <f>REPLACE(INDEX(GroupVertices[Group],MATCH(Edges[[#This Row],[Vertex 1]],GroupVertices[Vertex],0)),1,1,"")</f>
        <v>2</v>
      </c>
      <c r="BE132" s="81" t="str">
        <f>REPLACE(INDEX(GroupVertices[Group],MATCH(Edges[[#This Row],[Vertex 2]],GroupVertices[Vertex],0)),1,1,"")</f>
        <v>2</v>
      </c>
      <c r="BF132" s="49">
        <v>0</v>
      </c>
      <c r="BG132" s="50">
        <v>0</v>
      </c>
      <c r="BH132" s="49">
        <v>1</v>
      </c>
      <c r="BI132" s="50">
        <v>4.761904761904762</v>
      </c>
      <c r="BJ132" s="49">
        <v>0</v>
      </c>
      <c r="BK132" s="50">
        <v>0</v>
      </c>
      <c r="BL132" s="49">
        <v>20</v>
      </c>
      <c r="BM132" s="50">
        <v>95.23809523809524</v>
      </c>
      <c r="BN132" s="49">
        <v>21</v>
      </c>
    </row>
    <row r="133" spans="1:66" ht="15">
      <c r="A133" s="66" t="s">
        <v>305</v>
      </c>
      <c r="B133" s="66" t="s">
        <v>305</v>
      </c>
      <c r="C133" s="67" t="s">
        <v>2140</v>
      </c>
      <c r="D133" s="68">
        <v>3</v>
      </c>
      <c r="E133" s="69" t="s">
        <v>136</v>
      </c>
      <c r="F133" s="70">
        <v>6</v>
      </c>
      <c r="G133" s="67"/>
      <c r="H133" s="71"/>
      <c r="I133" s="72"/>
      <c r="J133" s="72"/>
      <c r="K133" s="35" t="s">
        <v>65</v>
      </c>
      <c r="L133" s="80">
        <v>133</v>
      </c>
      <c r="M133" s="80"/>
      <c r="N133" s="74"/>
      <c r="O133" s="82" t="s">
        <v>211</v>
      </c>
      <c r="P133" s="84">
        <v>44723.03582175926</v>
      </c>
      <c r="Q133" s="82" t="s">
        <v>391</v>
      </c>
      <c r="R133" s="82"/>
      <c r="S133" s="82"/>
      <c r="T133" s="82"/>
      <c r="U133" s="82"/>
      <c r="V133" s="85" t="str">
        <f>HYPERLINK("https://pbs.twimg.com/profile_images/825717962481029123/h6cXfTnb_normal.jpg")</f>
        <v>https://pbs.twimg.com/profile_images/825717962481029123/h6cXfTnb_normal.jpg</v>
      </c>
      <c r="W133" s="84">
        <v>44723.03582175926</v>
      </c>
      <c r="X133" s="89">
        <v>44723</v>
      </c>
      <c r="Y133" s="87" t="s">
        <v>621</v>
      </c>
      <c r="Z133" s="85" t="str">
        <f>HYPERLINK("https://twitter.com/chombotofficial/status/1535424471565312000")</f>
        <v>https://twitter.com/chombotofficial/status/1535424471565312000</v>
      </c>
      <c r="AA133" s="82"/>
      <c r="AB133" s="82"/>
      <c r="AC133" s="87" t="s">
        <v>810</v>
      </c>
      <c r="AD133" s="82"/>
      <c r="AE133" s="82" t="b">
        <v>0</v>
      </c>
      <c r="AF133" s="82">
        <v>0</v>
      </c>
      <c r="AG133" s="87" t="s">
        <v>957</v>
      </c>
      <c r="AH133" s="82" t="b">
        <v>0</v>
      </c>
      <c r="AI133" s="82" t="s">
        <v>973</v>
      </c>
      <c r="AJ133" s="82"/>
      <c r="AK133" s="87" t="s">
        <v>957</v>
      </c>
      <c r="AL133" s="82" t="b">
        <v>0</v>
      </c>
      <c r="AM133" s="82">
        <v>0</v>
      </c>
      <c r="AN133" s="87" t="s">
        <v>957</v>
      </c>
      <c r="AO133" s="87" t="s">
        <v>305</v>
      </c>
      <c r="AP133" s="82" t="b">
        <v>0</v>
      </c>
      <c r="AQ133" s="87" t="s">
        <v>810</v>
      </c>
      <c r="AR133" s="82" t="s">
        <v>211</v>
      </c>
      <c r="AS133" s="82">
        <v>0</v>
      </c>
      <c r="AT133" s="82">
        <v>0</v>
      </c>
      <c r="AU133" s="82"/>
      <c r="AV133" s="82"/>
      <c r="AW133" s="82"/>
      <c r="AX133" s="82"/>
      <c r="AY133" s="82"/>
      <c r="AZ133" s="82"/>
      <c r="BA133" s="82"/>
      <c r="BB133" s="82"/>
      <c r="BC133">
        <v>142</v>
      </c>
      <c r="BD133" s="81" t="str">
        <f>REPLACE(INDEX(GroupVertices[Group],MATCH(Edges[[#This Row],[Vertex 1]],GroupVertices[Vertex],0)),1,1,"")</f>
        <v>2</v>
      </c>
      <c r="BE133" s="81" t="str">
        <f>REPLACE(INDEX(GroupVertices[Group],MATCH(Edges[[#This Row],[Vertex 2]],GroupVertices[Vertex],0)),1,1,"")</f>
        <v>2</v>
      </c>
      <c r="BF133" s="49">
        <v>0</v>
      </c>
      <c r="BG133" s="50">
        <v>0</v>
      </c>
      <c r="BH133" s="49">
        <v>1</v>
      </c>
      <c r="BI133" s="50">
        <v>5.555555555555555</v>
      </c>
      <c r="BJ133" s="49">
        <v>0</v>
      </c>
      <c r="BK133" s="50">
        <v>0</v>
      </c>
      <c r="BL133" s="49">
        <v>17</v>
      </c>
      <c r="BM133" s="50">
        <v>94.44444444444444</v>
      </c>
      <c r="BN133" s="49">
        <v>18</v>
      </c>
    </row>
    <row r="134" spans="1:66" ht="15">
      <c r="A134" s="66" t="s">
        <v>305</v>
      </c>
      <c r="B134" s="66" t="s">
        <v>305</v>
      </c>
      <c r="C134" s="67" t="s">
        <v>2140</v>
      </c>
      <c r="D134" s="68">
        <v>3</v>
      </c>
      <c r="E134" s="69" t="s">
        <v>136</v>
      </c>
      <c r="F134" s="70">
        <v>6</v>
      </c>
      <c r="G134" s="67"/>
      <c r="H134" s="71"/>
      <c r="I134" s="72"/>
      <c r="J134" s="72"/>
      <c r="K134" s="35" t="s">
        <v>65</v>
      </c>
      <c r="L134" s="80">
        <v>134</v>
      </c>
      <c r="M134" s="80"/>
      <c r="N134" s="74"/>
      <c r="O134" s="82" t="s">
        <v>211</v>
      </c>
      <c r="P134" s="84">
        <v>44723.06359953704</v>
      </c>
      <c r="Q134" s="82" t="s">
        <v>392</v>
      </c>
      <c r="R134" s="82"/>
      <c r="S134" s="82"/>
      <c r="T134" s="82"/>
      <c r="U134" s="82"/>
      <c r="V134" s="85" t="str">
        <f>HYPERLINK("https://pbs.twimg.com/profile_images/825717962481029123/h6cXfTnb_normal.jpg")</f>
        <v>https://pbs.twimg.com/profile_images/825717962481029123/h6cXfTnb_normal.jpg</v>
      </c>
      <c r="W134" s="84">
        <v>44723.06359953704</v>
      </c>
      <c r="X134" s="89">
        <v>44723</v>
      </c>
      <c r="Y134" s="87" t="s">
        <v>622</v>
      </c>
      <c r="Z134" s="85" t="str">
        <f>HYPERLINK("https://twitter.com/chombotofficial/status/1535434535910920192")</f>
        <v>https://twitter.com/chombotofficial/status/1535434535910920192</v>
      </c>
      <c r="AA134" s="82"/>
      <c r="AB134" s="82"/>
      <c r="AC134" s="87" t="s">
        <v>811</v>
      </c>
      <c r="AD134" s="82"/>
      <c r="AE134" s="82" t="b">
        <v>0</v>
      </c>
      <c r="AF134" s="82">
        <v>0</v>
      </c>
      <c r="AG134" s="87" t="s">
        <v>957</v>
      </c>
      <c r="AH134" s="82" t="b">
        <v>0</v>
      </c>
      <c r="AI134" s="82" t="s">
        <v>973</v>
      </c>
      <c r="AJ134" s="82"/>
      <c r="AK134" s="87" t="s">
        <v>957</v>
      </c>
      <c r="AL134" s="82" t="b">
        <v>0</v>
      </c>
      <c r="AM134" s="82">
        <v>0</v>
      </c>
      <c r="AN134" s="87" t="s">
        <v>957</v>
      </c>
      <c r="AO134" s="87" t="s">
        <v>305</v>
      </c>
      <c r="AP134" s="82" t="b">
        <v>0</v>
      </c>
      <c r="AQ134" s="87" t="s">
        <v>811</v>
      </c>
      <c r="AR134" s="82" t="s">
        <v>211</v>
      </c>
      <c r="AS134" s="82">
        <v>0</v>
      </c>
      <c r="AT134" s="82">
        <v>0</v>
      </c>
      <c r="AU134" s="82"/>
      <c r="AV134" s="82"/>
      <c r="AW134" s="82"/>
      <c r="AX134" s="82"/>
      <c r="AY134" s="82"/>
      <c r="AZ134" s="82"/>
      <c r="BA134" s="82"/>
      <c r="BB134" s="82"/>
      <c r="BC134">
        <v>142</v>
      </c>
      <c r="BD134" s="81" t="str">
        <f>REPLACE(INDEX(GroupVertices[Group],MATCH(Edges[[#This Row],[Vertex 1]],GroupVertices[Vertex],0)),1,1,"")</f>
        <v>2</v>
      </c>
      <c r="BE134" s="81" t="str">
        <f>REPLACE(INDEX(GroupVertices[Group],MATCH(Edges[[#This Row],[Vertex 2]],GroupVertices[Vertex],0)),1,1,"")</f>
        <v>2</v>
      </c>
      <c r="BF134" s="49">
        <v>0</v>
      </c>
      <c r="BG134" s="50">
        <v>0</v>
      </c>
      <c r="BH134" s="49">
        <v>0</v>
      </c>
      <c r="BI134" s="50">
        <v>0</v>
      </c>
      <c r="BJ134" s="49">
        <v>0</v>
      </c>
      <c r="BK134" s="50">
        <v>0</v>
      </c>
      <c r="BL134" s="49">
        <v>21</v>
      </c>
      <c r="BM134" s="50">
        <v>100</v>
      </c>
      <c r="BN134" s="49">
        <v>21</v>
      </c>
    </row>
    <row r="135" spans="1:66" ht="15">
      <c r="A135" s="66" t="s">
        <v>305</v>
      </c>
      <c r="B135" s="66" t="s">
        <v>305</v>
      </c>
      <c r="C135" s="67" t="s">
        <v>2140</v>
      </c>
      <c r="D135" s="68">
        <v>3</v>
      </c>
      <c r="E135" s="69" t="s">
        <v>136</v>
      </c>
      <c r="F135" s="70">
        <v>6</v>
      </c>
      <c r="G135" s="67"/>
      <c r="H135" s="71"/>
      <c r="I135" s="72"/>
      <c r="J135" s="72"/>
      <c r="K135" s="35" t="s">
        <v>65</v>
      </c>
      <c r="L135" s="80">
        <v>135</v>
      </c>
      <c r="M135" s="80"/>
      <c r="N135" s="74"/>
      <c r="O135" s="82" t="s">
        <v>211</v>
      </c>
      <c r="P135" s="84">
        <v>44723.08094907407</v>
      </c>
      <c r="Q135" s="82" t="s">
        <v>393</v>
      </c>
      <c r="R135" s="82"/>
      <c r="S135" s="82"/>
      <c r="T135" s="82"/>
      <c r="U135" s="82"/>
      <c r="V135" s="85" t="str">
        <f>HYPERLINK("https://pbs.twimg.com/profile_images/825717962481029123/h6cXfTnb_normal.jpg")</f>
        <v>https://pbs.twimg.com/profile_images/825717962481029123/h6cXfTnb_normal.jpg</v>
      </c>
      <c r="W135" s="84">
        <v>44723.08094907407</v>
      </c>
      <c r="X135" s="89">
        <v>44723</v>
      </c>
      <c r="Y135" s="87" t="s">
        <v>623</v>
      </c>
      <c r="Z135" s="85" t="str">
        <f>HYPERLINK("https://twitter.com/chombotofficial/status/1535440826704269312")</f>
        <v>https://twitter.com/chombotofficial/status/1535440826704269312</v>
      </c>
      <c r="AA135" s="82"/>
      <c r="AB135" s="82"/>
      <c r="AC135" s="87" t="s">
        <v>812</v>
      </c>
      <c r="AD135" s="82"/>
      <c r="AE135" s="82" t="b">
        <v>0</v>
      </c>
      <c r="AF135" s="82">
        <v>0</v>
      </c>
      <c r="AG135" s="87" t="s">
        <v>957</v>
      </c>
      <c r="AH135" s="82" t="b">
        <v>0</v>
      </c>
      <c r="AI135" s="82" t="s">
        <v>973</v>
      </c>
      <c r="AJ135" s="82"/>
      <c r="AK135" s="87" t="s">
        <v>957</v>
      </c>
      <c r="AL135" s="82" t="b">
        <v>0</v>
      </c>
      <c r="AM135" s="82">
        <v>0</v>
      </c>
      <c r="AN135" s="87" t="s">
        <v>957</v>
      </c>
      <c r="AO135" s="87" t="s">
        <v>305</v>
      </c>
      <c r="AP135" s="82" t="b">
        <v>0</v>
      </c>
      <c r="AQ135" s="87" t="s">
        <v>812</v>
      </c>
      <c r="AR135" s="82" t="s">
        <v>211</v>
      </c>
      <c r="AS135" s="82">
        <v>0</v>
      </c>
      <c r="AT135" s="82">
        <v>0</v>
      </c>
      <c r="AU135" s="82"/>
      <c r="AV135" s="82"/>
      <c r="AW135" s="82"/>
      <c r="AX135" s="82"/>
      <c r="AY135" s="82"/>
      <c r="AZ135" s="82"/>
      <c r="BA135" s="82"/>
      <c r="BB135" s="82"/>
      <c r="BC135">
        <v>142</v>
      </c>
      <c r="BD135" s="81" t="str">
        <f>REPLACE(INDEX(GroupVertices[Group],MATCH(Edges[[#This Row],[Vertex 1]],GroupVertices[Vertex],0)),1,1,"")</f>
        <v>2</v>
      </c>
      <c r="BE135" s="81" t="str">
        <f>REPLACE(INDEX(GroupVertices[Group],MATCH(Edges[[#This Row],[Vertex 2]],GroupVertices[Vertex],0)),1,1,"")</f>
        <v>2</v>
      </c>
      <c r="BF135" s="49">
        <v>0</v>
      </c>
      <c r="BG135" s="50">
        <v>0</v>
      </c>
      <c r="BH135" s="49">
        <v>1</v>
      </c>
      <c r="BI135" s="50">
        <v>4.545454545454546</v>
      </c>
      <c r="BJ135" s="49">
        <v>0</v>
      </c>
      <c r="BK135" s="50">
        <v>0</v>
      </c>
      <c r="BL135" s="49">
        <v>21</v>
      </c>
      <c r="BM135" s="50">
        <v>95.45454545454545</v>
      </c>
      <c r="BN135" s="49">
        <v>22</v>
      </c>
    </row>
    <row r="136" spans="1:66" ht="15">
      <c r="A136" s="66" t="s">
        <v>305</v>
      </c>
      <c r="B136" s="66" t="s">
        <v>305</v>
      </c>
      <c r="C136" s="67" t="s">
        <v>2140</v>
      </c>
      <c r="D136" s="68">
        <v>3</v>
      </c>
      <c r="E136" s="69" t="s">
        <v>136</v>
      </c>
      <c r="F136" s="70">
        <v>6</v>
      </c>
      <c r="G136" s="67"/>
      <c r="H136" s="71"/>
      <c r="I136" s="72"/>
      <c r="J136" s="72"/>
      <c r="K136" s="35" t="s">
        <v>65</v>
      </c>
      <c r="L136" s="80">
        <v>136</v>
      </c>
      <c r="M136" s="80"/>
      <c r="N136" s="74"/>
      <c r="O136" s="82" t="s">
        <v>211</v>
      </c>
      <c r="P136" s="84">
        <v>44723.119155092594</v>
      </c>
      <c r="Q136" s="82" t="s">
        <v>394</v>
      </c>
      <c r="R136" s="82"/>
      <c r="S136" s="82"/>
      <c r="T136" s="82"/>
      <c r="U136" s="82"/>
      <c r="V136" s="85" t="str">
        <f>HYPERLINK("https://pbs.twimg.com/profile_images/825717962481029123/h6cXfTnb_normal.jpg")</f>
        <v>https://pbs.twimg.com/profile_images/825717962481029123/h6cXfTnb_normal.jpg</v>
      </c>
      <c r="W136" s="84">
        <v>44723.119155092594</v>
      </c>
      <c r="X136" s="89">
        <v>44723</v>
      </c>
      <c r="Y136" s="87" t="s">
        <v>624</v>
      </c>
      <c r="Z136" s="85" t="str">
        <f>HYPERLINK("https://twitter.com/chombotofficial/status/1535454669178380288")</f>
        <v>https://twitter.com/chombotofficial/status/1535454669178380288</v>
      </c>
      <c r="AA136" s="82"/>
      <c r="AB136" s="82"/>
      <c r="AC136" s="87" t="s">
        <v>813</v>
      </c>
      <c r="AD136" s="82"/>
      <c r="AE136" s="82" t="b">
        <v>0</v>
      </c>
      <c r="AF136" s="82">
        <v>0</v>
      </c>
      <c r="AG136" s="87" t="s">
        <v>957</v>
      </c>
      <c r="AH136" s="82" t="b">
        <v>0</v>
      </c>
      <c r="AI136" s="82" t="s">
        <v>973</v>
      </c>
      <c r="AJ136" s="82"/>
      <c r="AK136" s="87" t="s">
        <v>957</v>
      </c>
      <c r="AL136" s="82" t="b">
        <v>0</v>
      </c>
      <c r="AM136" s="82">
        <v>0</v>
      </c>
      <c r="AN136" s="87" t="s">
        <v>957</v>
      </c>
      <c r="AO136" s="87" t="s">
        <v>305</v>
      </c>
      <c r="AP136" s="82" t="b">
        <v>0</v>
      </c>
      <c r="AQ136" s="87" t="s">
        <v>813</v>
      </c>
      <c r="AR136" s="82" t="s">
        <v>211</v>
      </c>
      <c r="AS136" s="82">
        <v>0</v>
      </c>
      <c r="AT136" s="82">
        <v>0</v>
      </c>
      <c r="AU136" s="82"/>
      <c r="AV136" s="82"/>
      <c r="AW136" s="82"/>
      <c r="AX136" s="82"/>
      <c r="AY136" s="82"/>
      <c r="AZ136" s="82"/>
      <c r="BA136" s="82"/>
      <c r="BB136" s="82"/>
      <c r="BC136">
        <v>142</v>
      </c>
      <c r="BD136" s="81" t="str">
        <f>REPLACE(INDEX(GroupVertices[Group],MATCH(Edges[[#This Row],[Vertex 1]],GroupVertices[Vertex],0)),1,1,"")</f>
        <v>2</v>
      </c>
      <c r="BE136" s="81" t="str">
        <f>REPLACE(INDEX(GroupVertices[Group],MATCH(Edges[[#This Row],[Vertex 2]],GroupVertices[Vertex],0)),1,1,"")</f>
        <v>2</v>
      </c>
      <c r="BF136" s="49">
        <v>0</v>
      </c>
      <c r="BG136" s="50">
        <v>0</v>
      </c>
      <c r="BH136" s="49">
        <v>0</v>
      </c>
      <c r="BI136" s="50">
        <v>0</v>
      </c>
      <c r="BJ136" s="49">
        <v>0</v>
      </c>
      <c r="BK136" s="50">
        <v>0</v>
      </c>
      <c r="BL136" s="49">
        <v>11</v>
      </c>
      <c r="BM136" s="50">
        <v>100</v>
      </c>
      <c r="BN136" s="49">
        <v>11</v>
      </c>
    </row>
    <row r="137" spans="1:66" ht="15">
      <c r="A137" s="66" t="s">
        <v>305</v>
      </c>
      <c r="B137" s="66" t="s">
        <v>305</v>
      </c>
      <c r="C137" s="67" t="s">
        <v>2140</v>
      </c>
      <c r="D137" s="68">
        <v>3</v>
      </c>
      <c r="E137" s="69" t="s">
        <v>136</v>
      </c>
      <c r="F137" s="70">
        <v>6</v>
      </c>
      <c r="G137" s="67"/>
      <c r="H137" s="71"/>
      <c r="I137" s="72"/>
      <c r="J137" s="72"/>
      <c r="K137" s="35" t="s">
        <v>65</v>
      </c>
      <c r="L137" s="80">
        <v>137</v>
      </c>
      <c r="M137" s="80"/>
      <c r="N137" s="74"/>
      <c r="O137" s="82" t="s">
        <v>211</v>
      </c>
      <c r="P137" s="84">
        <v>44723.230266203704</v>
      </c>
      <c r="Q137" s="82" t="s">
        <v>395</v>
      </c>
      <c r="R137" s="82"/>
      <c r="S137" s="82"/>
      <c r="T137" s="82"/>
      <c r="U137" s="82"/>
      <c r="V137" s="85" t="str">
        <f>HYPERLINK("https://pbs.twimg.com/profile_images/825717962481029123/h6cXfTnb_normal.jpg")</f>
        <v>https://pbs.twimg.com/profile_images/825717962481029123/h6cXfTnb_normal.jpg</v>
      </c>
      <c r="W137" s="84">
        <v>44723.230266203704</v>
      </c>
      <c r="X137" s="89">
        <v>44723</v>
      </c>
      <c r="Y137" s="87" t="s">
        <v>625</v>
      </c>
      <c r="Z137" s="85" t="str">
        <f>HYPERLINK("https://twitter.com/chombotofficial/status/1535494935914467328")</f>
        <v>https://twitter.com/chombotofficial/status/1535494935914467328</v>
      </c>
      <c r="AA137" s="82"/>
      <c r="AB137" s="82"/>
      <c r="AC137" s="87" t="s">
        <v>814</v>
      </c>
      <c r="AD137" s="82"/>
      <c r="AE137" s="82" t="b">
        <v>0</v>
      </c>
      <c r="AF137" s="82">
        <v>0</v>
      </c>
      <c r="AG137" s="87" t="s">
        <v>957</v>
      </c>
      <c r="AH137" s="82" t="b">
        <v>0</v>
      </c>
      <c r="AI137" s="82" t="s">
        <v>973</v>
      </c>
      <c r="AJ137" s="82"/>
      <c r="AK137" s="87" t="s">
        <v>957</v>
      </c>
      <c r="AL137" s="82" t="b">
        <v>0</v>
      </c>
      <c r="AM137" s="82">
        <v>0</v>
      </c>
      <c r="AN137" s="87" t="s">
        <v>957</v>
      </c>
      <c r="AO137" s="87" t="s">
        <v>305</v>
      </c>
      <c r="AP137" s="82" t="b">
        <v>0</v>
      </c>
      <c r="AQ137" s="87" t="s">
        <v>814</v>
      </c>
      <c r="AR137" s="82" t="s">
        <v>211</v>
      </c>
      <c r="AS137" s="82">
        <v>0</v>
      </c>
      <c r="AT137" s="82">
        <v>0</v>
      </c>
      <c r="AU137" s="82"/>
      <c r="AV137" s="82"/>
      <c r="AW137" s="82"/>
      <c r="AX137" s="82"/>
      <c r="AY137" s="82"/>
      <c r="AZ137" s="82"/>
      <c r="BA137" s="82"/>
      <c r="BB137" s="82"/>
      <c r="BC137">
        <v>142</v>
      </c>
      <c r="BD137" s="81" t="str">
        <f>REPLACE(INDEX(GroupVertices[Group],MATCH(Edges[[#This Row],[Vertex 1]],GroupVertices[Vertex],0)),1,1,"")</f>
        <v>2</v>
      </c>
      <c r="BE137" s="81" t="str">
        <f>REPLACE(INDEX(GroupVertices[Group],MATCH(Edges[[#This Row],[Vertex 2]],GroupVertices[Vertex],0)),1,1,"")</f>
        <v>2</v>
      </c>
      <c r="BF137" s="49">
        <v>0</v>
      </c>
      <c r="BG137" s="50">
        <v>0</v>
      </c>
      <c r="BH137" s="49">
        <v>1</v>
      </c>
      <c r="BI137" s="50">
        <v>4.3478260869565215</v>
      </c>
      <c r="BJ137" s="49">
        <v>0</v>
      </c>
      <c r="BK137" s="50">
        <v>0</v>
      </c>
      <c r="BL137" s="49">
        <v>22</v>
      </c>
      <c r="BM137" s="50">
        <v>95.65217391304348</v>
      </c>
      <c r="BN137" s="49">
        <v>23</v>
      </c>
    </row>
    <row r="138" spans="1:66" ht="15">
      <c r="A138" s="66" t="s">
        <v>305</v>
      </c>
      <c r="B138" s="66" t="s">
        <v>305</v>
      </c>
      <c r="C138" s="67" t="s">
        <v>2140</v>
      </c>
      <c r="D138" s="68">
        <v>3</v>
      </c>
      <c r="E138" s="69" t="s">
        <v>136</v>
      </c>
      <c r="F138" s="70">
        <v>6</v>
      </c>
      <c r="G138" s="67"/>
      <c r="H138" s="71"/>
      <c r="I138" s="72"/>
      <c r="J138" s="72"/>
      <c r="K138" s="35" t="s">
        <v>65</v>
      </c>
      <c r="L138" s="80">
        <v>138</v>
      </c>
      <c r="M138" s="80"/>
      <c r="N138" s="74"/>
      <c r="O138" s="82" t="s">
        <v>211</v>
      </c>
      <c r="P138" s="84">
        <v>44723.45943287037</v>
      </c>
      <c r="Q138" s="82" t="s">
        <v>396</v>
      </c>
      <c r="R138" s="82"/>
      <c r="S138" s="82"/>
      <c r="T138" s="82"/>
      <c r="U138" s="82"/>
      <c r="V138" s="85" t="str">
        <f>HYPERLINK("https://pbs.twimg.com/profile_images/825717962481029123/h6cXfTnb_normal.jpg")</f>
        <v>https://pbs.twimg.com/profile_images/825717962481029123/h6cXfTnb_normal.jpg</v>
      </c>
      <c r="W138" s="84">
        <v>44723.45943287037</v>
      </c>
      <c r="X138" s="89">
        <v>44723</v>
      </c>
      <c r="Y138" s="87" t="s">
        <v>626</v>
      </c>
      <c r="Z138" s="85" t="str">
        <f>HYPERLINK("https://twitter.com/chombotofficial/status/1535577981493682176")</f>
        <v>https://twitter.com/chombotofficial/status/1535577981493682176</v>
      </c>
      <c r="AA138" s="82"/>
      <c r="AB138" s="82"/>
      <c r="AC138" s="87" t="s">
        <v>815</v>
      </c>
      <c r="AD138" s="82"/>
      <c r="AE138" s="82" t="b">
        <v>0</v>
      </c>
      <c r="AF138" s="82">
        <v>0</v>
      </c>
      <c r="AG138" s="87" t="s">
        <v>957</v>
      </c>
      <c r="AH138" s="82" t="b">
        <v>0</v>
      </c>
      <c r="AI138" s="82" t="s">
        <v>973</v>
      </c>
      <c r="AJ138" s="82"/>
      <c r="AK138" s="87" t="s">
        <v>957</v>
      </c>
      <c r="AL138" s="82" t="b">
        <v>0</v>
      </c>
      <c r="AM138" s="82">
        <v>0</v>
      </c>
      <c r="AN138" s="87" t="s">
        <v>957</v>
      </c>
      <c r="AO138" s="87" t="s">
        <v>305</v>
      </c>
      <c r="AP138" s="82" t="b">
        <v>0</v>
      </c>
      <c r="AQ138" s="87" t="s">
        <v>815</v>
      </c>
      <c r="AR138" s="82" t="s">
        <v>211</v>
      </c>
      <c r="AS138" s="82">
        <v>0</v>
      </c>
      <c r="AT138" s="82">
        <v>0</v>
      </c>
      <c r="AU138" s="82"/>
      <c r="AV138" s="82"/>
      <c r="AW138" s="82"/>
      <c r="AX138" s="82"/>
      <c r="AY138" s="82"/>
      <c r="AZ138" s="82"/>
      <c r="BA138" s="82"/>
      <c r="BB138" s="82"/>
      <c r="BC138">
        <v>142</v>
      </c>
      <c r="BD138" s="81" t="str">
        <f>REPLACE(INDEX(GroupVertices[Group],MATCH(Edges[[#This Row],[Vertex 1]],GroupVertices[Vertex],0)),1,1,"")</f>
        <v>2</v>
      </c>
      <c r="BE138" s="81" t="str">
        <f>REPLACE(INDEX(GroupVertices[Group],MATCH(Edges[[#This Row],[Vertex 2]],GroupVertices[Vertex],0)),1,1,"")</f>
        <v>2</v>
      </c>
      <c r="BF138" s="49">
        <v>0</v>
      </c>
      <c r="BG138" s="50">
        <v>0</v>
      </c>
      <c r="BH138" s="49">
        <v>0</v>
      </c>
      <c r="BI138" s="50">
        <v>0</v>
      </c>
      <c r="BJ138" s="49">
        <v>0</v>
      </c>
      <c r="BK138" s="50">
        <v>0</v>
      </c>
      <c r="BL138" s="49">
        <v>19</v>
      </c>
      <c r="BM138" s="50">
        <v>100</v>
      </c>
      <c r="BN138" s="49">
        <v>19</v>
      </c>
    </row>
    <row r="139" spans="1:66" ht="15">
      <c r="A139" s="66" t="s">
        <v>305</v>
      </c>
      <c r="B139" s="66" t="s">
        <v>305</v>
      </c>
      <c r="C139" s="67" t="s">
        <v>2140</v>
      </c>
      <c r="D139" s="68">
        <v>3</v>
      </c>
      <c r="E139" s="69" t="s">
        <v>136</v>
      </c>
      <c r="F139" s="70">
        <v>6</v>
      </c>
      <c r="G139" s="67"/>
      <c r="H139" s="71"/>
      <c r="I139" s="72"/>
      <c r="J139" s="72"/>
      <c r="K139" s="35" t="s">
        <v>65</v>
      </c>
      <c r="L139" s="80">
        <v>139</v>
      </c>
      <c r="M139" s="80"/>
      <c r="N139" s="74"/>
      <c r="O139" s="82" t="s">
        <v>211</v>
      </c>
      <c r="P139" s="84">
        <v>44723.59484953704</v>
      </c>
      <c r="Q139" s="82" t="s">
        <v>397</v>
      </c>
      <c r="R139" s="82"/>
      <c r="S139" s="82"/>
      <c r="T139" s="82"/>
      <c r="U139" s="82"/>
      <c r="V139" s="85" t="str">
        <f>HYPERLINK("https://pbs.twimg.com/profile_images/825717962481029123/h6cXfTnb_normal.jpg")</f>
        <v>https://pbs.twimg.com/profile_images/825717962481029123/h6cXfTnb_normal.jpg</v>
      </c>
      <c r="W139" s="84">
        <v>44723.59484953704</v>
      </c>
      <c r="X139" s="89">
        <v>44723</v>
      </c>
      <c r="Y139" s="87" t="s">
        <v>627</v>
      </c>
      <c r="Z139" s="85" t="str">
        <f>HYPERLINK("https://twitter.com/chombotofficial/status/1535627055370493952")</f>
        <v>https://twitter.com/chombotofficial/status/1535627055370493952</v>
      </c>
      <c r="AA139" s="82"/>
      <c r="AB139" s="82"/>
      <c r="AC139" s="87" t="s">
        <v>816</v>
      </c>
      <c r="AD139" s="82"/>
      <c r="AE139" s="82" t="b">
        <v>0</v>
      </c>
      <c r="AF139" s="82">
        <v>0</v>
      </c>
      <c r="AG139" s="87" t="s">
        <v>957</v>
      </c>
      <c r="AH139" s="82" t="b">
        <v>0</v>
      </c>
      <c r="AI139" s="82" t="s">
        <v>973</v>
      </c>
      <c r="AJ139" s="82"/>
      <c r="AK139" s="87" t="s">
        <v>957</v>
      </c>
      <c r="AL139" s="82" t="b">
        <v>0</v>
      </c>
      <c r="AM139" s="82">
        <v>0</v>
      </c>
      <c r="AN139" s="87" t="s">
        <v>957</v>
      </c>
      <c r="AO139" s="87" t="s">
        <v>305</v>
      </c>
      <c r="AP139" s="82" t="b">
        <v>0</v>
      </c>
      <c r="AQ139" s="87" t="s">
        <v>816</v>
      </c>
      <c r="AR139" s="82" t="s">
        <v>211</v>
      </c>
      <c r="AS139" s="82">
        <v>0</v>
      </c>
      <c r="AT139" s="82">
        <v>0</v>
      </c>
      <c r="AU139" s="82"/>
      <c r="AV139" s="82"/>
      <c r="AW139" s="82"/>
      <c r="AX139" s="82"/>
      <c r="AY139" s="82"/>
      <c r="AZ139" s="82"/>
      <c r="BA139" s="82"/>
      <c r="BB139" s="82"/>
      <c r="BC139">
        <v>142</v>
      </c>
      <c r="BD139" s="81" t="str">
        <f>REPLACE(INDEX(GroupVertices[Group],MATCH(Edges[[#This Row],[Vertex 1]],GroupVertices[Vertex],0)),1,1,"")</f>
        <v>2</v>
      </c>
      <c r="BE139" s="81" t="str">
        <f>REPLACE(INDEX(GroupVertices[Group],MATCH(Edges[[#This Row],[Vertex 2]],GroupVertices[Vertex],0)),1,1,"")</f>
        <v>2</v>
      </c>
      <c r="BF139" s="49">
        <v>0</v>
      </c>
      <c r="BG139" s="50">
        <v>0</v>
      </c>
      <c r="BH139" s="49">
        <v>0</v>
      </c>
      <c r="BI139" s="50">
        <v>0</v>
      </c>
      <c r="BJ139" s="49">
        <v>0</v>
      </c>
      <c r="BK139" s="50">
        <v>0</v>
      </c>
      <c r="BL139" s="49">
        <v>18</v>
      </c>
      <c r="BM139" s="50">
        <v>100</v>
      </c>
      <c r="BN139" s="49">
        <v>18</v>
      </c>
    </row>
    <row r="140" spans="1:66" ht="15">
      <c r="A140" s="66" t="s">
        <v>305</v>
      </c>
      <c r="B140" s="66" t="s">
        <v>305</v>
      </c>
      <c r="C140" s="67" t="s">
        <v>2140</v>
      </c>
      <c r="D140" s="68">
        <v>3</v>
      </c>
      <c r="E140" s="69" t="s">
        <v>136</v>
      </c>
      <c r="F140" s="70">
        <v>6</v>
      </c>
      <c r="G140" s="67"/>
      <c r="H140" s="71"/>
      <c r="I140" s="72"/>
      <c r="J140" s="72"/>
      <c r="K140" s="35" t="s">
        <v>65</v>
      </c>
      <c r="L140" s="80">
        <v>140</v>
      </c>
      <c r="M140" s="80"/>
      <c r="N140" s="74"/>
      <c r="O140" s="82" t="s">
        <v>211</v>
      </c>
      <c r="P140" s="84">
        <v>44723.605266203704</v>
      </c>
      <c r="Q140" s="82" t="s">
        <v>398</v>
      </c>
      <c r="R140" s="82"/>
      <c r="S140" s="82"/>
      <c r="T140" s="82"/>
      <c r="U140" s="82"/>
      <c r="V140" s="85" t="str">
        <f>HYPERLINK("https://pbs.twimg.com/profile_images/825717962481029123/h6cXfTnb_normal.jpg")</f>
        <v>https://pbs.twimg.com/profile_images/825717962481029123/h6cXfTnb_normal.jpg</v>
      </c>
      <c r="W140" s="84">
        <v>44723.605266203704</v>
      </c>
      <c r="X140" s="89">
        <v>44723</v>
      </c>
      <c r="Y140" s="87" t="s">
        <v>628</v>
      </c>
      <c r="Z140" s="85" t="str">
        <f>HYPERLINK("https://twitter.com/chombotofficial/status/1535630830135123975")</f>
        <v>https://twitter.com/chombotofficial/status/1535630830135123975</v>
      </c>
      <c r="AA140" s="82"/>
      <c r="AB140" s="82"/>
      <c r="AC140" s="87" t="s">
        <v>817</v>
      </c>
      <c r="AD140" s="82"/>
      <c r="AE140" s="82" t="b">
        <v>0</v>
      </c>
      <c r="AF140" s="82">
        <v>0</v>
      </c>
      <c r="AG140" s="87" t="s">
        <v>957</v>
      </c>
      <c r="AH140" s="82" t="b">
        <v>0</v>
      </c>
      <c r="AI140" s="82" t="s">
        <v>973</v>
      </c>
      <c r="AJ140" s="82"/>
      <c r="AK140" s="87" t="s">
        <v>957</v>
      </c>
      <c r="AL140" s="82" t="b">
        <v>0</v>
      </c>
      <c r="AM140" s="82">
        <v>0</v>
      </c>
      <c r="AN140" s="87" t="s">
        <v>957</v>
      </c>
      <c r="AO140" s="87" t="s">
        <v>305</v>
      </c>
      <c r="AP140" s="82" t="b">
        <v>0</v>
      </c>
      <c r="AQ140" s="87" t="s">
        <v>817</v>
      </c>
      <c r="AR140" s="82" t="s">
        <v>211</v>
      </c>
      <c r="AS140" s="82">
        <v>0</v>
      </c>
      <c r="AT140" s="82">
        <v>0</v>
      </c>
      <c r="AU140" s="82"/>
      <c r="AV140" s="82"/>
      <c r="AW140" s="82"/>
      <c r="AX140" s="82"/>
      <c r="AY140" s="82"/>
      <c r="AZ140" s="82"/>
      <c r="BA140" s="82"/>
      <c r="BB140" s="82"/>
      <c r="BC140">
        <v>142</v>
      </c>
      <c r="BD140" s="81" t="str">
        <f>REPLACE(INDEX(GroupVertices[Group],MATCH(Edges[[#This Row],[Vertex 1]],GroupVertices[Vertex],0)),1,1,"")</f>
        <v>2</v>
      </c>
      <c r="BE140" s="81" t="str">
        <f>REPLACE(INDEX(GroupVertices[Group],MATCH(Edges[[#This Row],[Vertex 2]],GroupVertices[Vertex],0)),1,1,"")</f>
        <v>2</v>
      </c>
      <c r="BF140" s="49">
        <v>0</v>
      </c>
      <c r="BG140" s="50">
        <v>0</v>
      </c>
      <c r="BH140" s="49">
        <v>0</v>
      </c>
      <c r="BI140" s="50">
        <v>0</v>
      </c>
      <c r="BJ140" s="49">
        <v>0</v>
      </c>
      <c r="BK140" s="50">
        <v>0</v>
      </c>
      <c r="BL140" s="49">
        <v>19</v>
      </c>
      <c r="BM140" s="50">
        <v>100</v>
      </c>
      <c r="BN140" s="49">
        <v>19</v>
      </c>
    </row>
    <row r="141" spans="1:66" ht="15">
      <c r="A141" s="66" t="s">
        <v>305</v>
      </c>
      <c r="B141" s="66" t="s">
        <v>305</v>
      </c>
      <c r="C141" s="67" t="s">
        <v>2140</v>
      </c>
      <c r="D141" s="68">
        <v>3</v>
      </c>
      <c r="E141" s="69" t="s">
        <v>136</v>
      </c>
      <c r="F141" s="70">
        <v>6</v>
      </c>
      <c r="G141" s="67"/>
      <c r="H141" s="71"/>
      <c r="I141" s="72"/>
      <c r="J141" s="72"/>
      <c r="K141" s="35" t="s">
        <v>65</v>
      </c>
      <c r="L141" s="80">
        <v>141</v>
      </c>
      <c r="M141" s="80"/>
      <c r="N141" s="74"/>
      <c r="O141" s="82" t="s">
        <v>211</v>
      </c>
      <c r="P141" s="84">
        <v>44723.88998842592</v>
      </c>
      <c r="Q141" s="82" t="s">
        <v>399</v>
      </c>
      <c r="R141" s="82"/>
      <c r="S141" s="82"/>
      <c r="T141" s="82"/>
      <c r="U141" s="82"/>
      <c r="V141" s="85" t="str">
        <f>HYPERLINK("https://pbs.twimg.com/profile_images/825717962481029123/h6cXfTnb_normal.jpg")</f>
        <v>https://pbs.twimg.com/profile_images/825717962481029123/h6cXfTnb_normal.jpg</v>
      </c>
      <c r="W141" s="84">
        <v>44723.88998842592</v>
      </c>
      <c r="X141" s="89">
        <v>44723</v>
      </c>
      <c r="Y141" s="87" t="s">
        <v>629</v>
      </c>
      <c r="Z141" s="85" t="str">
        <f>HYPERLINK("https://twitter.com/chombotofficial/status/1535734009279434755")</f>
        <v>https://twitter.com/chombotofficial/status/1535734009279434755</v>
      </c>
      <c r="AA141" s="82"/>
      <c r="AB141" s="82"/>
      <c r="AC141" s="87" t="s">
        <v>818</v>
      </c>
      <c r="AD141" s="82"/>
      <c r="AE141" s="82" t="b">
        <v>0</v>
      </c>
      <c r="AF141" s="82">
        <v>0</v>
      </c>
      <c r="AG141" s="87" t="s">
        <v>957</v>
      </c>
      <c r="AH141" s="82" t="b">
        <v>0</v>
      </c>
      <c r="AI141" s="82" t="s">
        <v>973</v>
      </c>
      <c r="AJ141" s="82"/>
      <c r="AK141" s="87" t="s">
        <v>957</v>
      </c>
      <c r="AL141" s="82" t="b">
        <v>0</v>
      </c>
      <c r="AM141" s="82">
        <v>0</v>
      </c>
      <c r="AN141" s="87" t="s">
        <v>957</v>
      </c>
      <c r="AO141" s="87" t="s">
        <v>305</v>
      </c>
      <c r="AP141" s="82" t="b">
        <v>0</v>
      </c>
      <c r="AQ141" s="87" t="s">
        <v>818</v>
      </c>
      <c r="AR141" s="82" t="s">
        <v>211</v>
      </c>
      <c r="AS141" s="82">
        <v>0</v>
      </c>
      <c r="AT141" s="82">
        <v>0</v>
      </c>
      <c r="AU141" s="82"/>
      <c r="AV141" s="82"/>
      <c r="AW141" s="82"/>
      <c r="AX141" s="82"/>
      <c r="AY141" s="82"/>
      <c r="AZ141" s="82"/>
      <c r="BA141" s="82"/>
      <c r="BB141" s="82"/>
      <c r="BC141">
        <v>142</v>
      </c>
      <c r="BD141" s="81" t="str">
        <f>REPLACE(INDEX(GroupVertices[Group],MATCH(Edges[[#This Row],[Vertex 1]],GroupVertices[Vertex],0)),1,1,"")</f>
        <v>2</v>
      </c>
      <c r="BE141" s="81"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6" t="s">
        <v>305</v>
      </c>
      <c r="B142" s="66" t="s">
        <v>305</v>
      </c>
      <c r="C142" s="67" t="s">
        <v>2140</v>
      </c>
      <c r="D142" s="68">
        <v>3</v>
      </c>
      <c r="E142" s="69" t="s">
        <v>136</v>
      </c>
      <c r="F142" s="70">
        <v>6</v>
      </c>
      <c r="G142" s="67"/>
      <c r="H142" s="71"/>
      <c r="I142" s="72"/>
      <c r="J142" s="72"/>
      <c r="K142" s="35" t="s">
        <v>65</v>
      </c>
      <c r="L142" s="80">
        <v>142</v>
      </c>
      <c r="M142" s="80"/>
      <c r="N142" s="74"/>
      <c r="O142" s="82" t="s">
        <v>211</v>
      </c>
      <c r="P142" s="84">
        <v>44724.01846064815</v>
      </c>
      <c r="Q142" s="82" t="s">
        <v>400</v>
      </c>
      <c r="R142" s="82"/>
      <c r="S142" s="82"/>
      <c r="T142" s="82"/>
      <c r="U142" s="82"/>
      <c r="V142" s="85" t="str">
        <f>HYPERLINK("https://pbs.twimg.com/profile_images/825717962481029123/h6cXfTnb_normal.jpg")</f>
        <v>https://pbs.twimg.com/profile_images/825717962481029123/h6cXfTnb_normal.jpg</v>
      </c>
      <c r="W142" s="84">
        <v>44724.01846064815</v>
      </c>
      <c r="X142" s="89">
        <v>44724</v>
      </c>
      <c r="Y142" s="87" t="s">
        <v>630</v>
      </c>
      <c r="Z142" s="85" t="str">
        <f>HYPERLINK("https://twitter.com/chombotofficial/status/1535780566721003522")</f>
        <v>https://twitter.com/chombotofficial/status/1535780566721003522</v>
      </c>
      <c r="AA142" s="82"/>
      <c r="AB142" s="82"/>
      <c r="AC142" s="87" t="s">
        <v>819</v>
      </c>
      <c r="AD142" s="82"/>
      <c r="AE142" s="82" t="b">
        <v>0</v>
      </c>
      <c r="AF142" s="82">
        <v>1</v>
      </c>
      <c r="AG142" s="87" t="s">
        <v>957</v>
      </c>
      <c r="AH142" s="82" t="b">
        <v>0</v>
      </c>
      <c r="AI142" s="82" t="s">
        <v>973</v>
      </c>
      <c r="AJ142" s="82"/>
      <c r="AK142" s="87" t="s">
        <v>957</v>
      </c>
      <c r="AL142" s="82" t="b">
        <v>0</v>
      </c>
      <c r="AM142" s="82">
        <v>0</v>
      </c>
      <c r="AN142" s="87" t="s">
        <v>957</v>
      </c>
      <c r="AO142" s="87" t="s">
        <v>305</v>
      </c>
      <c r="AP142" s="82" t="b">
        <v>0</v>
      </c>
      <c r="AQ142" s="87" t="s">
        <v>819</v>
      </c>
      <c r="AR142" s="82" t="s">
        <v>211</v>
      </c>
      <c r="AS142" s="82">
        <v>0</v>
      </c>
      <c r="AT142" s="82">
        <v>0</v>
      </c>
      <c r="AU142" s="82"/>
      <c r="AV142" s="82"/>
      <c r="AW142" s="82"/>
      <c r="AX142" s="82"/>
      <c r="AY142" s="82"/>
      <c r="AZ142" s="82"/>
      <c r="BA142" s="82"/>
      <c r="BB142" s="82"/>
      <c r="BC142">
        <v>142</v>
      </c>
      <c r="BD142" s="81" t="str">
        <f>REPLACE(INDEX(GroupVertices[Group],MATCH(Edges[[#This Row],[Vertex 1]],GroupVertices[Vertex],0)),1,1,"")</f>
        <v>2</v>
      </c>
      <c r="BE142" s="81" t="str">
        <f>REPLACE(INDEX(GroupVertices[Group],MATCH(Edges[[#This Row],[Vertex 2]],GroupVertices[Vertex],0)),1,1,"")</f>
        <v>2</v>
      </c>
      <c r="BF142" s="49">
        <v>0</v>
      </c>
      <c r="BG142" s="50">
        <v>0</v>
      </c>
      <c r="BH142" s="49">
        <v>0</v>
      </c>
      <c r="BI142" s="50">
        <v>0</v>
      </c>
      <c r="BJ142" s="49">
        <v>0</v>
      </c>
      <c r="BK142" s="50">
        <v>0</v>
      </c>
      <c r="BL142" s="49">
        <v>23</v>
      </c>
      <c r="BM142" s="50">
        <v>100</v>
      </c>
      <c r="BN142" s="49">
        <v>23</v>
      </c>
    </row>
    <row r="143" spans="1:66" ht="15">
      <c r="A143" s="66" t="s">
        <v>305</v>
      </c>
      <c r="B143" s="66" t="s">
        <v>305</v>
      </c>
      <c r="C143" s="67" t="s">
        <v>2140</v>
      </c>
      <c r="D143" s="68">
        <v>3</v>
      </c>
      <c r="E143" s="69" t="s">
        <v>136</v>
      </c>
      <c r="F143" s="70">
        <v>6</v>
      </c>
      <c r="G143" s="67"/>
      <c r="H143" s="71"/>
      <c r="I143" s="72"/>
      <c r="J143" s="72"/>
      <c r="K143" s="35" t="s">
        <v>65</v>
      </c>
      <c r="L143" s="80">
        <v>143</v>
      </c>
      <c r="M143" s="80"/>
      <c r="N143" s="74"/>
      <c r="O143" s="82" t="s">
        <v>211</v>
      </c>
      <c r="P143" s="84">
        <v>44724.08443287037</v>
      </c>
      <c r="Q143" s="82" t="s">
        <v>401</v>
      </c>
      <c r="R143" s="82"/>
      <c r="S143" s="82"/>
      <c r="T143" s="82"/>
      <c r="U143" s="82"/>
      <c r="V143" s="85" t="str">
        <f>HYPERLINK("https://pbs.twimg.com/profile_images/825717962481029123/h6cXfTnb_normal.jpg")</f>
        <v>https://pbs.twimg.com/profile_images/825717962481029123/h6cXfTnb_normal.jpg</v>
      </c>
      <c r="W143" s="84">
        <v>44724.08443287037</v>
      </c>
      <c r="X143" s="89">
        <v>44724</v>
      </c>
      <c r="Y143" s="87" t="s">
        <v>631</v>
      </c>
      <c r="Z143" s="85" t="str">
        <f>HYPERLINK("https://twitter.com/chombotofficial/status/1535804473733414912")</f>
        <v>https://twitter.com/chombotofficial/status/1535804473733414912</v>
      </c>
      <c r="AA143" s="82"/>
      <c r="AB143" s="82"/>
      <c r="AC143" s="87" t="s">
        <v>820</v>
      </c>
      <c r="AD143" s="82"/>
      <c r="AE143" s="82" t="b">
        <v>0</v>
      </c>
      <c r="AF143" s="82">
        <v>0</v>
      </c>
      <c r="AG143" s="87" t="s">
        <v>957</v>
      </c>
      <c r="AH143" s="82" t="b">
        <v>0</v>
      </c>
      <c r="AI143" s="82" t="s">
        <v>973</v>
      </c>
      <c r="AJ143" s="82"/>
      <c r="AK143" s="87" t="s">
        <v>957</v>
      </c>
      <c r="AL143" s="82" t="b">
        <v>0</v>
      </c>
      <c r="AM143" s="82">
        <v>0</v>
      </c>
      <c r="AN143" s="87" t="s">
        <v>957</v>
      </c>
      <c r="AO143" s="87" t="s">
        <v>305</v>
      </c>
      <c r="AP143" s="82" t="b">
        <v>0</v>
      </c>
      <c r="AQ143" s="87" t="s">
        <v>820</v>
      </c>
      <c r="AR143" s="82" t="s">
        <v>211</v>
      </c>
      <c r="AS143" s="82">
        <v>0</v>
      </c>
      <c r="AT143" s="82">
        <v>0</v>
      </c>
      <c r="AU143" s="82"/>
      <c r="AV143" s="82"/>
      <c r="AW143" s="82"/>
      <c r="AX143" s="82"/>
      <c r="AY143" s="82"/>
      <c r="AZ143" s="82"/>
      <c r="BA143" s="82"/>
      <c r="BB143" s="82"/>
      <c r="BC143">
        <v>142</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6" t="s">
        <v>305</v>
      </c>
      <c r="B144" s="66" t="s">
        <v>305</v>
      </c>
      <c r="C144" s="67" t="s">
        <v>2140</v>
      </c>
      <c r="D144" s="68">
        <v>3</v>
      </c>
      <c r="E144" s="69" t="s">
        <v>136</v>
      </c>
      <c r="F144" s="70">
        <v>6</v>
      </c>
      <c r="G144" s="67"/>
      <c r="H144" s="71"/>
      <c r="I144" s="72"/>
      <c r="J144" s="72"/>
      <c r="K144" s="35" t="s">
        <v>65</v>
      </c>
      <c r="L144" s="80">
        <v>144</v>
      </c>
      <c r="M144" s="80"/>
      <c r="N144" s="74"/>
      <c r="O144" s="82" t="s">
        <v>211</v>
      </c>
      <c r="P144" s="84">
        <v>44724.42471064815</v>
      </c>
      <c r="Q144" s="82" t="s">
        <v>402</v>
      </c>
      <c r="R144" s="82"/>
      <c r="S144" s="82"/>
      <c r="T144" s="82"/>
      <c r="U144" s="82"/>
      <c r="V144" s="85" t="str">
        <f>HYPERLINK("https://pbs.twimg.com/profile_images/825717962481029123/h6cXfTnb_normal.jpg")</f>
        <v>https://pbs.twimg.com/profile_images/825717962481029123/h6cXfTnb_normal.jpg</v>
      </c>
      <c r="W144" s="84">
        <v>44724.42471064815</v>
      </c>
      <c r="X144" s="89">
        <v>44724</v>
      </c>
      <c r="Y144" s="87" t="s">
        <v>632</v>
      </c>
      <c r="Z144" s="85" t="str">
        <f>HYPERLINK("https://twitter.com/chombotofficial/status/1535927787361558528")</f>
        <v>https://twitter.com/chombotofficial/status/1535927787361558528</v>
      </c>
      <c r="AA144" s="82"/>
      <c r="AB144" s="82"/>
      <c r="AC144" s="87" t="s">
        <v>821</v>
      </c>
      <c r="AD144" s="82"/>
      <c r="AE144" s="82" t="b">
        <v>0</v>
      </c>
      <c r="AF144" s="82">
        <v>0</v>
      </c>
      <c r="AG144" s="87" t="s">
        <v>957</v>
      </c>
      <c r="AH144" s="82" t="b">
        <v>0</v>
      </c>
      <c r="AI144" s="82" t="s">
        <v>973</v>
      </c>
      <c r="AJ144" s="82"/>
      <c r="AK144" s="87" t="s">
        <v>957</v>
      </c>
      <c r="AL144" s="82" t="b">
        <v>0</v>
      </c>
      <c r="AM144" s="82">
        <v>0</v>
      </c>
      <c r="AN144" s="87" t="s">
        <v>957</v>
      </c>
      <c r="AO144" s="87" t="s">
        <v>305</v>
      </c>
      <c r="AP144" s="82" t="b">
        <v>0</v>
      </c>
      <c r="AQ144" s="87" t="s">
        <v>821</v>
      </c>
      <c r="AR144" s="82" t="s">
        <v>211</v>
      </c>
      <c r="AS144" s="82">
        <v>0</v>
      </c>
      <c r="AT144" s="82">
        <v>0</v>
      </c>
      <c r="AU144" s="82"/>
      <c r="AV144" s="82"/>
      <c r="AW144" s="82"/>
      <c r="AX144" s="82"/>
      <c r="AY144" s="82"/>
      <c r="AZ144" s="82"/>
      <c r="BA144" s="82"/>
      <c r="BB144" s="82"/>
      <c r="BC144">
        <v>142</v>
      </c>
      <c r="BD144" s="81" t="str">
        <f>REPLACE(INDEX(GroupVertices[Group],MATCH(Edges[[#This Row],[Vertex 1]],GroupVertices[Vertex],0)),1,1,"")</f>
        <v>2</v>
      </c>
      <c r="BE144" s="81" t="str">
        <f>REPLACE(INDEX(GroupVertices[Group],MATCH(Edges[[#This Row],[Vertex 2]],GroupVertices[Vertex],0)),1,1,"")</f>
        <v>2</v>
      </c>
      <c r="BF144" s="49">
        <v>0</v>
      </c>
      <c r="BG144" s="50">
        <v>0</v>
      </c>
      <c r="BH144" s="49">
        <v>1</v>
      </c>
      <c r="BI144" s="50">
        <v>5.2631578947368425</v>
      </c>
      <c r="BJ144" s="49">
        <v>0</v>
      </c>
      <c r="BK144" s="50">
        <v>0</v>
      </c>
      <c r="BL144" s="49">
        <v>18</v>
      </c>
      <c r="BM144" s="50">
        <v>94.73684210526316</v>
      </c>
      <c r="BN144" s="49">
        <v>19</v>
      </c>
    </row>
    <row r="145" spans="1:66" ht="15">
      <c r="A145" s="66" t="s">
        <v>305</v>
      </c>
      <c r="B145" s="66" t="s">
        <v>305</v>
      </c>
      <c r="C145" s="67" t="s">
        <v>2140</v>
      </c>
      <c r="D145" s="68">
        <v>3</v>
      </c>
      <c r="E145" s="69" t="s">
        <v>136</v>
      </c>
      <c r="F145" s="70">
        <v>6</v>
      </c>
      <c r="G145" s="67"/>
      <c r="H145" s="71"/>
      <c r="I145" s="72"/>
      <c r="J145" s="72"/>
      <c r="K145" s="35" t="s">
        <v>65</v>
      </c>
      <c r="L145" s="80">
        <v>145</v>
      </c>
      <c r="M145" s="80"/>
      <c r="N145" s="74"/>
      <c r="O145" s="82" t="s">
        <v>211</v>
      </c>
      <c r="P145" s="84">
        <v>44724.42818287037</v>
      </c>
      <c r="Q145" s="82" t="s">
        <v>403</v>
      </c>
      <c r="R145" s="82"/>
      <c r="S145" s="82"/>
      <c r="T145" s="82"/>
      <c r="U145" s="82"/>
      <c r="V145" s="85" t="str">
        <f>HYPERLINK("https://pbs.twimg.com/profile_images/825717962481029123/h6cXfTnb_normal.jpg")</f>
        <v>https://pbs.twimg.com/profile_images/825717962481029123/h6cXfTnb_normal.jpg</v>
      </c>
      <c r="W145" s="84">
        <v>44724.42818287037</v>
      </c>
      <c r="X145" s="89">
        <v>44724</v>
      </c>
      <c r="Y145" s="87" t="s">
        <v>610</v>
      </c>
      <c r="Z145" s="85" t="str">
        <f>HYPERLINK("https://twitter.com/chombotofficial/status/1535929044658704384")</f>
        <v>https://twitter.com/chombotofficial/status/1535929044658704384</v>
      </c>
      <c r="AA145" s="82"/>
      <c r="AB145" s="82"/>
      <c r="AC145" s="87" t="s">
        <v>822</v>
      </c>
      <c r="AD145" s="82"/>
      <c r="AE145" s="82" t="b">
        <v>0</v>
      </c>
      <c r="AF145" s="82">
        <v>0</v>
      </c>
      <c r="AG145" s="87" t="s">
        <v>957</v>
      </c>
      <c r="AH145" s="82" t="b">
        <v>0</v>
      </c>
      <c r="AI145" s="82" t="s">
        <v>973</v>
      </c>
      <c r="AJ145" s="82"/>
      <c r="AK145" s="87" t="s">
        <v>957</v>
      </c>
      <c r="AL145" s="82" t="b">
        <v>0</v>
      </c>
      <c r="AM145" s="82">
        <v>0</v>
      </c>
      <c r="AN145" s="87" t="s">
        <v>957</v>
      </c>
      <c r="AO145" s="87" t="s">
        <v>305</v>
      </c>
      <c r="AP145" s="82" t="b">
        <v>0</v>
      </c>
      <c r="AQ145" s="87" t="s">
        <v>822</v>
      </c>
      <c r="AR145" s="82" t="s">
        <v>211</v>
      </c>
      <c r="AS145" s="82">
        <v>0</v>
      </c>
      <c r="AT145" s="82">
        <v>0</v>
      </c>
      <c r="AU145" s="82"/>
      <c r="AV145" s="82"/>
      <c r="AW145" s="82"/>
      <c r="AX145" s="82"/>
      <c r="AY145" s="82"/>
      <c r="AZ145" s="82"/>
      <c r="BA145" s="82"/>
      <c r="BB145" s="82"/>
      <c r="BC145">
        <v>142</v>
      </c>
      <c r="BD145" s="81" t="str">
        <f>REPLACE(INDEX(GroupVertices[Group],MATCH(Edges[[#This Row],[Vertex 1]],GroupVertices[Vertex],0)),1,1,"")</f>
        <v>2</v>
      </c>
      <c r="BE145" s="81" t="str">
        <f>REPLACE(INDEX(GroupVertices[Group],MATCH(Edges[[#This Row],[Vertex 2]],GroupVertices[Vertex],0)),1,1,"")</f>
        <v>2</v>
      </c>
      <c r="BF145" s="49">
        <v>0</v>
      </c>
      <c r="BG145" s="50">
        <v>0</v>
      </c>
      <c r="BH145" s="49">
        <v>0</v>
      </c>
      <c r="BI145" s="50">
        <v>0</v>
      </c>
      <c r="BJ145" s="49">
        <v>0</v>
      </c>
      <c r="BK145" s="50">
        <v>0</v>
      </c>
      <c r="BL145" s="49">
        <v>24</v>
      </c>
      <c r="BM145" s="50">
        <v>100</v>
      </c>
      <c r="BN145" s="49">
        <v>24</v>
      </c>
    </row>
    <row r="146" spans="1:66" ht="15">
      <c r="A146" s="66" t="s">
        <v>305</v>
      </c>
      <c r="B146" s="66" t="s">
        <v>305</v>
      </c>
      <c r="C146" s="67" t="s">
        <v>2140</v>
      </c>
      <c r="D146" s="68">
        <v>3</v>
      </c>
      <c r="E146" s="69" t="s">
        <v>136</v>
      </c>
      <c r="F146" s="70">
        <v>6</v>
      </c>
      <c r="G146" s="67"/>
      <c r="H146" s="71"/>
      <c r="I146" s="72"/>
      <c r="J146" s="72"/>
      <c r="K146" s="35" t="s">
        <v>65</v>
      </c>
      <c r="L146" s="80">
        <v>146</v>
      </c>
      <c r="M146" s="80"/>
      <c r="N146" s="74"/>
      <c r="O146" s="82" t="s">
        <v>211</v>
      </c>
      <c r="P146" s="84">
        <v>44724.46983796296</v>
      </c>
      <c r="Q146" s="82" t="s">
        <v>404</v>
      </c>
      <c r="R146" s="82"/>
      <c r="S146" s="82"/>
      <c r="T146" s="82"/>
      <c r="U146" s="82"/>
      <c r="V146" s="85" t="str">
        <f>HYPERLINK("https://pbs.twimg.com/profile_images/825717962481029123/h6cXfTnb_normal.jpg")</f>
        <v>https://pbs.twimg.com/profile_images/825717962481029123/h6cXfTnb_normal.jpg</v>
      </c>
      <c r="W146" s="84">
        <v>44724.46983796296</v>
      </c>
      <c r="X146" s="89">
        <v>44724</v>
      </c>
      <c r="Y146" s="87" t="s">
        <v>633</v>
      </c>
      <c r="Z146" s="85" t="str">
        <f>HYPERLINK("https://twitter.com/chombotofficial/status/1535944143758929921")</f>
        <v>https://twitter.com/chombotofficial/status/1535944143758929921</v>
      </c>
      <c r="AA146" s="82"/>
      <c r="AB146" s="82"/>
      <c r="AC146" s="87" t="s">
        <v>823</v>
      </c>
      <c r="AD146" s="82"/>
      <c r="AE146" s="82" t="b">
        <v>0</v>
      </c>
      <c r="AF146" s="82">
        <v>0</v>
      </c>
      <c r="AG146" s="87" t="s">
        <v>957</v>
      </c>
      <c r="AH146" s="82" t="b">
        <v>0</v>
      </c>
      <c r="AI146" s="82" t="s">
        <v>973</v>
      </c>
      <c r="AJ146" s="82"/>
      <c r="AK146" s="87" t="s">
        <v>957</v>
      </c>
      <c r="AL146" s="82" t="b">
        <v>0</v>
      </c>
      <c r="AM146" s="82">
        <v>0</v>
      </c>
      <c r="AN146" s="87" t="s">
        <v>957</v>
      </c>
      <c r="AO146" s="87" t="s">
        <v>305</v>
      </c>
      <c r="AP146" s="82" t="b">
        <v>0</v>
      </c>
      <c r="AQ146" s="87" t="s">
        <v>823</v>
      </c>
      <c r="AR146" s="82" t="s">
        <v>211</v>
      </c>
      <c r="AS146" s="82">
        <v>0</v>
      </c>
      <c r="AT146" s="82">
        <v>0</v>
      </c>
      <c r="AU146" s="82"/>
      <c r="AV146" s="82"/>
      <c r="AW146" s="82"/>
      <c r="AX146" s="82"/>
      <c r="AY146" s="82"/>
      <c r="AZ146" s="82"/>
      <c r="BA146" s="82"/>
      <c r="BB146" s="82"/>
      <c r="BC146">
        <v>142</v>
      </c>
      <c r="BD146" s="81" t="str">
        <f>REPLACE(INDEX(GroupVertices[Group],MATCH(Edges[[#This Row],[Vertex 1]],GroupVertices[Vertex],0)),1,1,"")</f>
        <v>2</v>
      </c>
      <c r="BE146" s="81" t="str">
        <f>REPLACE(INDEX(GroupVertices[Group],MATCH(Edges[[#This Row],[Vertex 2]],GroupVertices[Vertex],0)),1,1,"")</f>
        <v>2</v>
      </c>
      <c r="BF146" s="49">
        <v>0</v>
      </c>
      <c r="BG146" s="50">
        <v>0</v>
      </c>
      <c r="BH146" s="49">
        <v>1</v>
      </c>
      <c r="BI146" s="50">
        <v>5.2631578947368425</v>
      </c>
      <c r="BJ146" s="49">
        <v>0</v>
      </c>
      <c r="BK146" s="50">
        <v>0</v>
      </c>
      <c r="BL146" s="49">
        <v>18</v>
      </c>
      <c r="BM146" s="50">
        <v>94.73684210526316</v>
      </c>
      <c r="BN146" s="49">
        <v>19</v>
      </c>
    </row>
    <row r="147" spans="1:66" ht="15">
      <c r="A147" s="66" t="s">
        <v>305</v>
      </c>
      <c r="B147" s="66" t="s">
        <v>305</v>
      </c>
      <c r="C147" s="67" t="s">
        <v>2140</v>
      </c>
      <c r="D147" s="68">
        <v>3</v>
      </c>
      <c r="E147" s="69" t="s">
        <v>136</v>
      </c>
      <c r="F147" s="70">
        <v>6</v>
      </c>
      <c r="G147" s="67"/>
      <c r="H147" s="71"/>
      <c r="I147" s="72"/>
      <c r="J147" s="72"/>
      <c r="K147" s="35" t="s">
        <v>65</v>
      </c>
      <c r="L147" s="80">
        <v>147</v>
      </c>
      <c r="M147" s="80"/>
      <c r="N147" s="74"/>
      <c r="O147" s="82" t="s">
        <v>211</v>
      </c>
      <c r="P147" s="84">
        <v>44724.47332175926</v>
      </c>
      <c r="Q147" s="82" t="s">
        <v>405</v>
      </c>
      <c r="R147" s="82"/>
      <c r="S147" s="82"/>
      <c r="T147" s="82"/>
      <c r="U147" s="82"/>
      <c r="V147" s="85" t="str">
        <f>HYPERLINK("https://pbs.twimg.com/profile_images/825717962481029123/h6cXfTnb_normal.jpg")</f>
        <v>https://pbs.twimg.com/profile_images/825717962481029123/h6cXfTnb_normal.jpg</v>
      </c>
      <c r="W147" s="84">
        <v>44724.47332175926</v>
      </c>
      <c r="X147" s="89">
        <v>44724</v>
      </c>
      <c r="Y147" s="87" t="s">
        <v>634</v>
      </c>
      <c r="Z147" s="85" t="str">
        <f>HYPERLINK("https://twitter.com/chombotofficial/status/1535945404533157893")</f>
        <v>https://twitter.com/chombotofficial/status/1535945404533157893</v>
      </c>
      <c r="AA147" s="82"/>
      <c r="AB147" s="82"/>
      <c r="AC147" s="87" t="s">
        <v>824</v>
      </c>
      <c r="AD147" s="82"/>
      <c r="AE147" s="82" t="b">
        <v>0</v>
      </c>
      <c r="AF147" s="82">
        <v>0</v>
      </c>
      <c r="AG147" s="87" t="s">
        <v>957</v>
      </c>
      <c r="AH147" s="82" t="b">
        <v>0</v>
      </c>
      <c r="AI147" s="82" t="s">
        <v>973</v>
      </c>
      <c r="AJ147" s="82"/>
      <c r="AK147" s="87" t="s">
        <v>957</v>
      </c>
      <c r="AL147" s="82" t="b">
        <v>0</v>
      </c>
      <c r="AM147" s="82">
        <v>0</v>
      </c>
      <c r="AN147" s="87" t="s">
        <v>957</v>
      </c>
      <c r="AO147" s="87" t="s">
        <v>305</v>
      </c>
      <c r="AP147" s="82" t="b">
        <v>0</v>
      </c>
      <c r="AQ147" s="87" t="s">
        <v>824</v>
      </c>
      <c r="AR147" s="82" t="s">
        <v>211</v>
      </c>
      <c r="AS147" s="82">
        <v>0</v>
      </c>
      <c r="AT147" s="82">
        <v>0</v>
      </c>
      <c r="AU147" s="82"/>
      <c r="AV147" s="82"/>
      <c r="AW147" s="82"/>
      <c r="AX147" s="82"/>
      <c r="AY147" s="82"/>
      <c r="AZ147" s="82"/>
      <c r="BA147" s="82"/>
      <c r="BB147" s="82"/>
      <c r="BC147">
        <v>142</v>
      </c>
      <c r="BD147" s="81" t="str">
        <f>REPLACE(INDEX(GroupVertices[Group],MATCH(Edges[[#This Row],[Vertex 1]],GroupVertices[Vertex],0)),1,1,"")</f>
        <v>2</v>
      </c>
      <c r="BE147" s="81" t="str">
        <f>REPLACE(INDEX(GroupVertices[Group],MATCH(Edges[[#This Row],[Vertex 2]],GroupVertices[Vertex],0)),1,1,"")</f>
        <v>2</v>
      </c>
      <c r="BF147" s="49">
        <v>0</v>
      </c>
      <c r="BG147" s="50">
        <v>0</v>
      </c>
      <c r="BH147" s="49">
        <v>1</v>
      </c>
      <c r="BI147" s="50">
        <v>5.2631578947368425</v>
      </c>
      <c r="BJ147" s="49">
        <v>0</v>
      </c>
      <c r="BK147" s="50">
        <v>0</v>
      </c>
      <c r="BL147" s="49">
        <v>18</v>
      </c>
      <c r="BM147" s="50">
        <v>94.73684210526316</v>
      </c>
      <c r="BN147" s="49">
        <v>19</v>
      </c>
    </row>
    <row r="148" spans="1:66" ht="15">
      <c r="A148" s="66" t="s">
        <v>305</v>
      </c>
      <c r="B148" s="66" t="s">
        <v>305</v>
      </c>
      <c r="C148" s="67" t="s">
        <v>2140</v>
      </c>
      <c r="D148" s="68">
        <v>3</v>
      </c>
      <c r="E148" s="69" t="s">
        <v>136</v>
      </c>
      <c r="F148" s="70">
        <v>6</v>
      </c>
      <c r="G148" s="67"/>
      <c r="H148" s="71"/>
      <c r="I148" s="72"/>
      <c r="J148" s="72"/>
      <c r="K148" s="35" t="s">
        <v>65</v>
      </c>
      <c r="L148" s="80">
        <v>148</v>
      </c>
      <c r="M148" s="80"/>
      <c r="N148" s="74"/>
      <c r="O148" s="82" t="s">
        <v>211</v>
      </c>
      <c r="P148" s="84">
        <v>44724.51497685185</v>
      </c>
      <c r="Q148" s="82" t="s">
        <v>406</v>
      </c>
      <c r="R148" s="82"/>
      <c r="S148" s="82"/>
      <c r="T148" s="82"/>
      <c r="U148" s="82"/>
      <c r="V148" s="85" t="str">
        <f>HYPERLINK("https://pbs.twimg.com/profile_images/825717962481029123/h6cXfTnb_normal.jpg")</f>
        <v>https://pbs.twimg.com/profile_images/825717962481029123/h6cXfTnb_normal.jpg</v>
      </c>
      <c r="W148" s="84">
        <v>44724.51497685185</v>
      </c>
      <c r="X148" s="89">
        <v>44724</v>
      </c>
      <c r="Y148" s="87" t="s">
        <v>635</v>
      </c>
      <c r="Z148" s="85" t="str">
        <f>HYPERLINK("https://twitter.com/chombotofficial/status/1535960501519323141")</f>
        <v>https://twitter.com/chombotofficial/status/1535960501519323141</v>
      </c>
      <c r="AA148" s="82"/>
      <c r="AB148" s="82"/>
      <c r="AC148" s="87" t="s">
        <v>825</v>
      </c>
      <c r="AD148" s="82"/>
      <c r="AE148" s="82" t="b">
        <v>0</v>
      </c>
      <c r="AF148" s="82">
        <v>0</v>
      </c>
      <c r="AG148" s="87" t="s">
        <v>957</v>
      </c>
      <c r="AH148" s="82" t="b">
        <v>0</v>
      </c>
      <c r="AI148" s="82" t="s">
        <v>973</v>
      </c>
      <c r="AJ148" s="82"/>
      <c r="AK148" s="87" t="s">
        <v>957</v>
      </c>
      <c r="AL148" s="82" t="b">
        <v>0</v>
      </c>
      <c r="AM148" s="82">
        <v>0</v>
      </c>
      <c r="AN148" s="87" t="s">
        <v>957</v>
      </c>
      <c r="AO148" s="87" t="s">
        <v>305</v>
      </c>
      <c r="AP148" s="82" t="b">
        <v>0</v>
      </c>
      <c r="AQ148" s="87" t="s">
        <v>825</v>
      </c>
      <c r="AR148" s="82" t="s">
        <v>211</v>
      </c>
      <c r="AS148" s="82">
        <v>0</v>
      </c>
      <c r="AT148" s="82">
        <v>0</v>
      </c>
      <c r="AU148" s="82"/>
      <c r="AV148" s="82"/>
      <c r="AW148" s="82"/>
      <c r="AX148" s="82"/>
      <c r="AY148" s="82"/>
      <c r="AZ148" s="82"/>
      <c r="BA148" s="82"/>
      <c r="BB148" s="82"/>
      <c r="BC148">
        <v>142</v>
      </c>
      <c r="BD148" s="81" t="str">
        <f>REPLACE(INDEX(GroupVertices[Group],MATCH(Edges[[#This Row],[Vertex 1]],GroupVertices[Vertex],0)),1,1,"")</f>
        <v>2</v>
      </c>
      <c r="BE148" s="81" t="str">
        <f>REPLACE(INDEX(GroupVertices[Group],MATCH(Edges[[#This Row],[Vertex 2]],GroupVertices[Vertex],0)),1,1,"")</f>
        <v>2</v>
      </c>
      <c r="BF148" s="49">
        <v>0</v>
      </c>
      <c r="BG148" s="50">
        <v>0</v>
      </c>
      <c r="BH148" s="49">
        <v>2</v>
      </c>
      <c r="BI148" s="50">
        <v>8.695652173913043</v>
      </c>
      <c r="BJ148" s="49">
        <v>0</v>
      </c>
      <c r="BK148" s="50">
        <v>0</v>
      </c>
      <c r="BL148" s="49">
        <v>21</v>
      </c>
      <c r="BM148" s="50">
        <v>91.30434782608695</v>
      </c>
      <c r="BN148" s="49">
        <v>23</v>
      </c>
    </row>
    <row r="149" spans="1:66" ht="15">
      <c r="A149" s="66" t="s">
        <v>305</v>
      </c>
      <c r="B149" s="66" t="s">
        <v>305</v>
      </c>
      <c r="C149" s="67" t="s">
        <v>2140</v>
      </c>
      <c r="D149" s="68">
        <v>3</v>
      </c>
      <c r="E149" s="69" t="s">
        <v>136</v>
      </c>
      <c r="F149" s="70">
        <v>6</v>
      </c>
      <c r="G149" s="67"/>
      <c r="H149" s="71"/>
      <c r="I149" s="72"/>
      <c r="J149" s="72"/>
      <c r="K149" s="35" t="s">
        <v>65</v>
      </c>
      <c r="L149" s="80">
        <v>149</v>
      </c>
      <c r="M149" s="80"/>
      <c r="N149" s="74"/>
      <c r="O149" s="82" t="s">
        <v>211</v>
      </c>
      <c r="P149" s="84">
        <v>44724.56359953704</v>
      </c>
      <c r="Q149" s="82" t="s">
        <v>407</v>
      </c>
      <c r="R149" s="82"/>
      <c r="S149" s="82"/>
      <c r="T149" s="82"/>
      <c r="U149" s="82"/>
      <c r="V149" s="85" t="str">
        <f>HYPERLINK("https://pbs.twimg.com/profile_images/825717962481029123/h6cXfTnb_normal.jpg")</f>
        <v>https://pbs.twimg.com/profile_images/825717962481029123/h6cXfTnb_normal.jpg</v>
      </c>
      <c r="W149" s="84">
        <v>44724.56359953704</v>
      </c>
      <c r="X149" s="89">
        <v>44724</v>
      </c>
      <c r="Y149" s="87" t="s">
        <v>636</v>
      </c>
      <c r="Z149" s="85" t="str">
        <f>HYPERLINK("https://twitter.com/chombotofficial/status/1535978118929866753")</f>
        <v>https://twitter.com/chombotofficial/status/1535978118929866753</v>
      </c>
      <c r="AA149" s="82"/>
      <c r="AB149" s="82"/>
      <c r="AC149" s="87" t="s">
        <v>826</v>
      </c>
      <c r="AD149" s="82"/>
      <c r="AE149" s="82" t="b">
        <v>0</v>
      </c>
      <c r="AF149" s="82">
        <v>0</v>
      </c>
      <c r="AG149" s="87" t="s">
        <v>957</v>
      </c>
      <c r="AH149" s="82" t="b">
        <v>0</v>
      </c>
      <c r="AI149" s="82" t="s">
        <v>973</v>
      </c>
      <c r="AJ149" s="82"/>
      <c r="AK149" s="87" t="s">
        <v>957</v>
      </c>
      <c r="AL149" s="82" t="b">
        <v>0</v>
      </c>
      <c r="AM149" s="82">
        <v>0</v>
      </c>
      <c r="AN149" s="87" t="s">
        <v>957</v>
      </c>
      <c r="AO149" s="87" t="s">
        <v>305</v>
      </c>
      <c r="AP149" s="82" t="b">
        <v>0</v>
      </c>
      <c r="AQ149" s="87" t="s">
        <v>826</v>
      </c>
      <c r="AR149" s="82" t="s">
        <v>211</v>
      </c>
      <c r="AS149" s="82">
        <v>0</v>
      </c>
      <c r="AT149" s="82">
        <v>0</v>
      </c>
      <c r="AU149" s="82"/>
      <c r="AV149" s="82"/>
      <c r="AW149" s="82"/>
      <c r="AX149" s="82"/>
      <c r="AY149" s="82"/>
      <c r="AZ149" s="82"/>
      <c r="BA149" s="82"/>
      <c r="BB149" s="82"/>
      <c r="BC149">
        <v>142</v>
      </c>
      <c r="BD149" s="81" t="str">
        <f>REPLACE(INDEX(GroupVertices[Group],MATCH(Edges[[#This Row],[Vertex 1]],GroupVertices[Vertex],0)),1,1,"")</f>
        <v>2</v>
      </c>
      <c r="BE149" s="81" t="str">
        <f>REPLACE(INDEX(GroupVertices[Group],MATCH(Edges[[#This Row],[Vertex 2]],GroupVertices[Vertex],0)),1,1,"")</f>
        <v>2</v>
      </c>
      <c r="BF149" s="49">
        <v>0</v>
      </c>
      <c r="BG149" s="50">
        <v>0</v>
      </c>
      <c r="BH149" s="49">
        <v>2</v>
      </c>
      <c r="BI149" s="50">
        <v>9.090909090909092</v>
      </c>
      <c r="BJ149" s="49">
        <v>0</v>
      </c>
      <c r="BK149" s="50">
        <v>0</v>
      </c>
      <c r="BL149" s="49">
        <v>20</v>
      </c>
      <c r="BM149" s="50">
        <v>90.9090909090909</v>
      </c>
      <c r="BN149" s="49">
        <v>22</v>
      </c>
    </row>
    <row r="150" spans="1:66" ht="15">
      <c r="A150" s="66" t="s">
        <v>305</v>
      </c>
      <c r="B150" s="66" t="s">
        <v>305</v>
      </c>
      <c r="C150" s="67" t="s">
        <v>2140</v>
      </c>
      <c r="D150" s="68">
        <v>3</v>
      </c>
      <c r="E150" s="69" t="s">
        <v>136</v>
      </c>
      <c r="F150" s="70">
        <v>6</v>
      </c>
      <c r="G150" s="67"/>
      <c r="H150" s="71"/>
      <c r="I150" s="72"/>
      <c r="J150" s="72"/>
      <c r="K150" s="35" t="s">
        <v>65</v>
      </c>
      <c r="L150" s="80">
        <v>150</v>
      </c>
      <c r="M150" s="80"/>
      <c r="N150" s="74"/>
      <c r="O150" s="82" t="s">
        <v>211</v>
      </c>
      <c r="P150" s="84">
        <v>44724.570543981485</v>
      </c>
      <c r="Q150" s="82" t="s">
        <v>408</v>
      </c>
      <c r="R150" s="82"/>
      <c r="S150" s="82"/>
      <c r="T150" s="82"/>
      <c r="U150" s="82"/>
      <c r="V150" s="85" t="str">
        <f>HYPERLINK("https://pbs.twimg.com/profile_images/825717962481029123/h6cXfTnb_normal.jpg")</f>
        <v>https://pbs.twimg.com/profile_images/825717962481029123/h6cXfTnb_normal.jpg</v>
      </c>
      <c r="W150" s="84">
        <v>44724.570543981485</v>
      </c>
      <c r="X150" s="89">
        <v>44724</v>
      </c>
      <c r="Y150" s="87" t="s">
        <v>637</v>
      </c>
      <c r="Z150" s="85" t="str">
        <f>HYPERLINK("https://twitter.com/chombotofficial/status/1535980634413359106")</f>
        <v>https://twitter.com/chombotofficial/status/1535980634413359106</v>
      </c>
      <c r="AA150" s="82"/>
      <c r="AB150" s="82"/>
      <c r="AC150" s="87" t="s">
        <v>827</v>
      </c>
      <c r="AD150" s="82"/>
      <c r="AE150" s="82" t="b">
        <v>0</v>
      </c>
      <c r="AF150" s="82">
        <v>0</v>
      </c>
      <c r="AG150" s="87" t="s">
        <v>957</v>
      </c>
      <c r="AH150" s="82" t="b">
        <v>0</v>
      </c>
      <c r="AI150" s="82" t="s">
        <v>973</v>
      </c>
      <c r="AJ150" s="82"/>
      <c r="AK150" s="87" t="s">
        <v>957</v>
      </c>
      <c r="AL150" s="82" t="b">
        <v>0</v>
      </c>
      <c r="AM150" s="82">
        <v>0</v>
      </c>
      <c r="AN150" s="87" t="s">
        <v>957</v>
      </c>
      <c r="AO150" s="87" t="s">
        <v>305</v>
      </c>
      <c r="AP150" s="82" t="b">
        <v>0</v>
      </c>
      <c r="AQ150" s="87" t="s">
        <v>827</v>
      </c>
      <c r="AR150" s="82" t="s">
        <v>211</v>
      </c>
      <c r="AS150" s="82">
        <v>0</v>
      </c>
      <c r="AT150" s="82">
        <v>0</v>
      </c>
      <c r="AU150" s="82"/>
      <c r="AV150" s="82"/>
      <c r="AW150" s="82"/>
      <c r="AX150" s="82"/>
      <c r="AY150" s="82"/>
      <c r="AZ150" s="82"/>
      <c r="BA150" s="82"/>
      <c r="BB150" s="82"/>
      <c r="BC150">
        <v>142</v>
      </c>
      <c r="BD150" s="81" t="str">
        <f>REPLACE(INDEX(GroupVertices[Group],MATCH(Edges[[#This Row],[Vertex 1]],GroupVertices[Vertex],0)),1,1,"")</f>
        <v>2</v>
      </c>
      <c r="BE150" s="81" t="str">
        <f>REPLACE(INDEX(GroupVertices[Group],MATCH(Edges[[#This Row],[Vertex 2]],GroupVertices[Vertex],0)),1,1,"")</f>
        <v>2</v>
      </c>
      <c r="BF150" s="49">
        <v>0</v>
      </c>
      <c r="BG150" s="50">
        <v>0</v>
      </c>
      <c r="BH150" s="49">
        <v>1</v>
      </c>
      <c r="BI150" s="50">
        <v>10</v>
      </c>
      <c r="BJ150" s="49">
        <v>0</v>
      </c>
      <c r="BK150" s="50">
        <v>0</v>
      </c>
      <c r="BL150" s="49">
        <v>9</v>
      </c>
      <c r="BM150" s="50">
        <v>90</v>
      </c>
      <c r="BN150" s="49">
        <v>10</v>
      </c>
    </row>
    <row r="151" spans="1:66" ht="15">
      <c r="A151" s="66" t="s">
        <v>305</v>
      </c>
      <c r="B151" s="66" t="s">
        <v>305</v>
      </c>
      <c r="C151" s="67" t="s">
        <v>2140</v>
      </c>
      <c r="D151" s="68">
        <v>3</v>
      </c>
      <c r="E151" s="69" t="s">
        <v>136</v>
      </c>
      <c r="F151" s="70">
        <v>6</v>
      </c>
      <c r="G151" s="67"/>
      <c r="H151" s="71"/>
      <c r="I151" s="72"/>
      <c r="J151" s="72"/>
      <c r="K151" s="35" t="s">
        <v>65</v>
      </c>
      <c r="L151" s="80">
        <v>151</v>
      </c>
      <c r="M151" s="80"/>
      <c r="N151" s="74"/>
      <c r="O151" s="82" t="s">
        <v>211</v>
      </c>
      <c r="P151" s="84">
        <v>44724.65734953704</v>
      </c>
      <c r="Q151" s="82" t="s">
        <v>409</v>
      </c>
      <c r="R151" s="82"/>
      <c r="S151" s="82"/>
      <c r="T151" s="82"/>
      <c r="U151" s="82"/>
      <c r="V151" s="85" t="str">
        <f>HYPERLINK("https://pbs.twimg.com/profile_images/825717962481029123/h6cXfTnb_normal.jpg")</f>
        <v>https://pbs.twimg.com/profile_images/825717962481029123/h6cXfTnb_normal.jpg</v>
      </c>
      <c r="W151" s="84">
        <v>44724.65734953704</v>
      </c>
      <c r="X151" s="89">
        <v>44724</v>
      </c>
      <c r="Y151" s="87" t="s">
        <v>614</v>
      </c>
      <c r="Z151" s="85" t="str">
        <f>HYPERLINK("https://twitter.com/chombotofficial/status/1536012094872633346")</f>
        <v>https://twitter.com/chombotofficial/status/1536012094872633346</v>
      </c>
      <c r="AA151" s="82"/>
      <c r="AB151" s="82"/>
      <c r="AC151" s="87" t="s">
        <v>828</v>
      </c>
      <c r="AD151" s="82"/>
      <c r="AE151" s="82" t="b">
        <v>0</v>
      </c>
      <c r="AF151" s="82">
        <v>0</v>
      </c>
      <c r="AG151" s="87" t="s">
        <v>957</v>
      </c>
      <c r="AH151" s="82" t="b">
        <v>0</v>
      </c>
      <c r="AI151" s="82" t="s">
        <v>973</v>
      </c>
      <c r="AJ151" s="82"/>
      <c r="AK151" s="87" t="s">
        <v>957</v>
      </c>
      <c r="AL151" s="82" t="b">
        <v>0</v>
      </c>
      <c r="AM151" s="82">
        <v>0</v>
      </c>
      <c r="AN151" s="87" t="s">
        <v>957</v>
      </c>
      <c r="AO151" s="87" t="s">
        <v>305</v>
      </c>
      <c r="AP151" s="82" t="b">
        <v>0</v>
      </c>
      <c r="AQ151" s="87" t="s">
        <v>828</v>
      </c>
      <c r="AR151" s="82" t="s">
        <v>211</v>
      </c>
      <c r="AS151" s="82">
        <v>0</v>
      </c>
      <c r="AT151" s="82">
        <v>0</v>
      </c>
      <c r="AU151" s="82"/>
      <c r="AV151" s="82"/>
      <c r="AW151" s="82"/>
      <c r="AX151" s="82"/>
      <c r="AY151" s="82"/>
      <c r="AZ151" s="82"/>
      <c r="BA151" s="82"/>
      <c r="BB151" s="82"/>
      <c r="BC151">
        <v>142</v>
      </c>
      <c r="BD151" s="81" t="str">
        <f>REPLACE(INDEX(GroupVertices[Group],MATCH(Edges[[#This Row],[Vertex 1]],GroupVertices[Vertex],0)),1,1,"")</f>
        <v>2</v>
      </c>
      <c r="BE151" s="81" t="str">
        <f>REPLACE(INDEX(GroupVertices[Group],MATCH(Edges[[#This Row],[Vertex 2]],GroupVertices[Vertex],0)),1,1,"")</f>
        <v>2</v>
      </c>
      <c r="BF151" s="49">
        <v>0</v>
      </c>
      <c r="BG151" s="50">
        <v>0</v>
      </c>
      <c r="BH151" s="49">
        <v>0</v>
      </c>
      <c r="BI151" s="50">
        <v>0</v>
      </c>
      <c r="BJ151" s="49">
        <v>0</v>
      </c>
      <c r="BK151" s="50">
        <v>0</v>
      </c>
      <c r="BL151" s="49">
        <v>20</v>
      </c>
      <c r="BM151" s="50">
        <v>100</v>
      </c>
      <c r="BN151" s="49">
        <v>20</v>
      </c>
    </row>
    <row r="152" spans="1:66" ht="15">
      <c r="A152" s="66" t="s">
        <v>305</v>
      </c>
      <c r="B152" s="66" t="s">
        <v>305</v>
      </c>
      <c r="C152" s="67" t="s">
        <v>2140</v>
      </c>
      <c r="D152" s="68">
        <v>3</v>
      </c>
      <c r="E152" s="69" t="s">
        <v>136</v>
      </c>
      <c r="F152" s="70">
        <v>6</v>
      </c>
      <c r="G152" s="67"/>
      <c r="H152" s="71"/>
      <c r="I152" s="72"/>
      <c r="J152" s="72"/>
      <c r="K152" s="35" t="s">
        <v>65</v>
      </c>
      <c r="L152" s="80">
        <v>152</v>
      </c>
      <c r="M152" s="80"/>
      <c r="N152" s="74"/>
      <c r="O152" s="82" t="s">
        <v>211</v>
      </c>
      <c r="P152" s="84">
        <v>44724.73373842592</v>
      </c>
      <c r="Q152" s="82" t="s">
        <v>410</v>
      </c>
      <c r="R152" s="82"/>
      <c r="S152" s="82"/>
      <c r="T152" s="82"/>
      <c r="U152" s="82"/>
      <c r="V152" s="85" t="str">
        <f>HYPERLINK("https://pbs.twimg.com/profile_images/825717962481029123/h6cXfTnb_normal.jpg")</f>
        <v>https://pbs.twimg.com/profile_images/825717962481029123/h6cXfTnb_normal.jpg</v>
      </c>
      <c r="W152" s="84">
        <v>44724.73373842592</v>
      </c>
      <c r="X152" s="89">
        <v>44724</v>
      </c>
      <c r="Y152" s="87" t="s">
        <v>638</v>
      </c>
      <c r="Z152" s="85" t="str">
        <f>HYPERLINK("https://twitter.com/chombotofficial/status/1536039774414413824")</f>
        <v>https://twitter.com/chombotofficial/status/1536039774414413824</v>
      </c>
      <c r="AA152" s="82"/>
      <c r="AB152" s="82"/>
      <c r="AC152" s="87" t="s">
        <v>829</v>
      </c>
      <c r="AD152" s="82"/>
      <c r="AE152" s="82" t="b">
        <v>0</v>
      </c>
      <c r="AF152" s="82">
        <v>0</v>
      </c>
      <c r="AG152" s="87" t="s">
        <v>957</v>
      </c>
      <c r="AH152" s="82" t="b">
        <v>0</v>
      </c>
      <c r="AI152" s="82" t="s">
        <v>973</v>
      </c>
      <c r="AJ152" s="82"/>
      <c r="AK152" s="87" t="s">
        <v>957</v>
      </c>
      <c r="AL152" s="82" t="b">
        <v>0</v>
      </c>
      <c r="AM152" s="82">
        <v>0</v>
      </c>
      <c r="AN152" s="87" t="s">
        <v>957</v>
      </c>
      <c r="AO152" s="87" t="s">
        <v>305</v>
      </c>
      <c r="AP152" s="82" t="b">
        <v>0</v>
      </c>
      <c r="AQ152" s="87" t="s">
        <v>829</v>
      </c>
      <c r="AR152" s="82" t="s">
        <v>211</v>
      </c>
      <c r="AS152" s="82">
        <v>0</v>
      </c>
      <c r="AT152" s="82">
        <v>0</v>
      </c>
      <c r="AU152" s="82"/>
      <c r="AV152" s="82"/>
      <c r="AW152" s="82"/>
      <c r="AX152" s="82"/>
      <c r="AY152" s="82"/>
      <c r="AZ152" s="82"/>
      <c r="BA152" s="82"/>
      <c r="BB152" s="82"/>
      <c r="BC152">
        <v>142</v>
      </c>
      <c r="BD152" s="81" t="str">
        <f>REPLACE(INDEX(GroupVertices[Group],MATCH(Edges[[#This Row],[Vertex 1]],GroupVertices[Vertex],0)),1,1,"")</f>
        <v>2</v>
      </c>
      <c r="BE152" s="81" t="str">
        <f>REPLACE(INDEX(GroupVertices[Group],MATCH(Edges[[#This Row],[Vertex 2]],GroupVertices[Vertex],0)),1,1,"")</f>
        <v>2</v>
      </c>
      <c r="BF152" s="49">
        <v>0</v>
      </c>
      <c r="BG152" s="50">
        <v>0</v>
      </c>
      <c r="BH152" s="49">
        <v>0</v>
      </c>
      <c r="BI152" s="50">
        <v>0</v>
      </c>
      <c r="BJ152" s="49">
        <v>0</v>
      </c>
      <c r="BK152" s="50">
        <v>0</v>
      </c>
      <c r="BL152" s="49">
        <v>18</v>
      </c>
      <c r="BM152" s="50">
        <v>100</v>
      </c>
      <c r="BN152" s="49">
        <v>18</v>
      </c>
    </row>
    <row r="153" spans="1:66" ht="15">
      <c r="A153" s="66" t="s">
        <v>305</v>
      </c>
      <c r="B153" s="66" t="s">
        <v>305</v>
      </c>
      <c r="C153" s="67" t="s">
        <v>2140</v>
      </c>
      <c r="D153" s="68">
        <v>3</v>
      </c>
      <c r="E153" s="69" t="s">
        <v>136</v>
      </c>
      <c r="F153" s="70">
        <v>6</v>
      </c>
      <c r="G153" s="67"/>
      <c r="H153" s="71"/>
      <c r="I153" s="72"/>
      <c r="J153" s="72"/>
      <c r="K153" s="35" t="s">
        <v>65</v>
      </c>
      <c r="L153" s="80">
        <v>153</v>
      </c>
      <c r="M153" s="80"/>
      <c r="N153" s="74"/>
      <c r="O153" s="82" t="s">
        <v>211</v>
      </c>
      <c r="P153" s="84">
        <v>44724.76846064815</v>
      </c>
      <c r="Q153" s="82" t="s">
        <v>411</v>
      </c>
      <c r="R153" s="82"/>
      <c r="S153" s="82"/>
      <c r="T153" s="82"/>
      <c r="U153" s="82"/>
      <c r="V153" s="85" t="str">
        <f>HYPERLINK("https://pbs.twimg.com/profile_images/825717962481029123/h6cXfTnb_normal.jpg")</f>
        <v>https://pbs.twimg.com/profile_images/825717962481029123/h6cXfTnb_normal.jpg</v>
      </c>
      <c r="W153" s="84">
        <v>44724.76846064815</v>
      </c>
      <c r="X153" s="89">
        <v>44724</v>
      </c>
      <c r="Y153" s="87" t="s">
        <v>639</v>
      </c>
      <c r="Z153" s="85" t="str">
        <f>HYPERLINK("https://twitter.com/chombotofficial/status/1536052358689464321")</f>
        <v>https://twitter.com/chombotofficial/status/1536052358689464321</v>
      </c>
      <c r="AA153" s="82"/>
      <c r="AB153" s="82"/>
      <c r="AC153" s="87" t="s">
        <v>830</v>
      </c>
      <c r="AD153" s="82"/>
      <c r="AE153" s="82" t="b">
        <v>0</v>
      </c>
      <c r="AF153" s="82">
        <v>0</v>
      </c>
      <c r="AG153" s="87" t="s">
        <v>957</v>
      </c>
      <c r="AH153" s="82" t="b">
        <v>0</v>
      </c>
      <c r="AI153" s="82" t="s">
        <v>973</v>
      </c>
      <c r="AJ153" s="82"/>
      <c r="AK153" s="87" t="s">
        <v>957</v>
      </c>
      <c r="AL153" s="82" t="b">
        <v>0</v>
      </c>
      <c r="AM153" s="82">
        <v>0</v>
      </c>
      <c r="AN153" s="87" t="s">
        <v>957</v>
      </c>
      <c r="AO153" s="87" t="s">
        <v>305</v>
      </c>
      <c r="AP153" s="82" t="b">
        <v>0</v>
      </c>
      <c r="AQ153" s="87" t="s">
        <v>830</v>
      </c>
      <c r="AR153" s="82" t="s">
        <v>211</v>
      </c>
      <c r="AS153" s="82">
        <v>0</v>
      </c>
      <c r="AT153" s="82">
        <v>0</v>
      </c>
      <c r="AU153" s="82"/>
      <c r="AV153" s="82"/>
      <c r="AW153" s="82"/>
      <c r="AX153" s="82"/>
      <c r="AY153" s="82"/>
      <c r="AZ153" s="82"/>
      <c r="BA153" s="82"/>
      <c r="BB153" s="82"/>
      <c r="BC153">
        <v>142</v>
      </c>
      <c r="BD153" s="81" t="str">
        <f>REPLACE(INDEX(GroupVertices[Group],MATCH(Edges[[#This Row],[Vertex 1]],GroupVertices[Vertex],0)),1,1,"")</f>
        <v>2</v>
      </c>
      <c r="BE153" s="81" t="str">
        <f>REPLACE(INDEX(GroupVertices[Group],MATCH(Edges[[#This Row],[Vertex 2]],GroupVertices[Vertex],0)),1,1,"")</f>
        <v>2</v>
      </c>
      <c r="BF153" s="49">
        <v>0</v>
      </c>
      <c r="BG153" s="50">
        <v>0</v>
      </c>
      <c r="BH153" s="49">
        <v>1</v>
      </c>
      <c r="BI153" s="50">
        <v>7.6923076923076925</v>
      </c>
      <c r="BJ153" s="49">
        <v>0</v>
      </c>
      <c r="BK153" s="50">
        <v>0</v>
      </c>
      <c r="BL153" s="49">
        <v>12</v>
      </c>
      <c r="BM153" s="50">
        <v>92.3076923076923</v>
      </c>
      <c r="BN153" s="49">
        <v>13</v>
      </c>
    </row>
    <row r="154" spans="1:66" ht="15">
      <c r="A154" s="66" t="s">
        <v>305</v>
      </c>
      <c r="B154" s="66" t="s">
        <v>305</v>
      </c>
      <c r="C154" s="67" t="s">
        <v>2140</v>
      </c>
      <c r="D154" s="68">
        <v>3</v>
      </c>
      <c r="E154" s="69" t="s">
        <v>136</v>
      </c>
      <c r="F154" s="70">
        <v>6</v>
      </c>
      <c r="G154" s="67"/>
      <c r="H154" s="71"/>
      <c r="I154" s="72"/>
      <c r="J154" s="72"/>
      <c r="K154" s="35" t="s">
        <v>65</v>
      </c>
      <c r="L154" s="80">
        <v>154</v>
      </c>
      <c r="M154" s="80"/>
      <c r="N154" s="74"/>
      <c r="O154" s="82" t="s">
        <v>211</v>
      </c>
      <c r="P154" s="84">
        <v>44724.79971064815</v>
      </c>
      <c r="Q154" s="82" t="s">
        <v>412</v>
      </c>
      <c r="R154" s="82"/>
      <c r="S154" s="82"/>
      <c r="T154" s="82"/>
      <c r="U154" s="82"/>
      <c r="V154" s="85" t="str">
        <f>HYPERLINK("https://pbs.twimg.com/profile_images/825717962481029123/h6cXfTnb_normal.jpg")</f>
        <v>https://pbs.twimg.com/profile_images/825717962481029123/h6cXfTnb_normal.jpg</v>
      </c>
      <c r="W154" s="84">
        <v>44724.79971064815</v>
      </c>
      <c r="X154" s="89">
        <v>44724</v>
      </c>
      <c r="Y154" s="87" t="s">
        <v>640</v>
      </c>
      <c r="Z154" s="85" t="str">
        <f>HYPERLINK("https://twitter.com/chombotofficial/status/1536063681905283073")</f>
        <v>https://twitter.com/chombotofficial/status/1536063681905283073</v>
      </c>
      <c r="AA154" s="82"/>
      <c r="AB154" s="82"/>
      <c r="AC154" s="87" t="s">
        <v>831</v>
      </c>
      <c r="AD154" s="82"/>
      <c r="AE154" s="82" t="b">
        <v>0</v>
      </c>
      <c r="AF154" s="82">
        <v>0</v>
      </c>
      <c r="AG154" s="87" t="s">
        <v>957</v>
      </c>
      <c r="AH154" s="82" t="b">
        <v>0</v>
      </c>
      <c r="AI154" s="82" t="s">
        <v>973</v>
      </c>
      <c r="AJ154" s="82"/>
      <c r="AK154" s="87" t="s">
        <v>957</v>
      </c>
      <c r="AL154" s="82" t="b">
        <v>0</v>
      </c>
      <c r="AM154" s="82">
        <v>0</v>
      </c>
      <c r="AN154" s="87" t="s">
        <v>957</v>
      </c>
      <c r="AO154" s="87" t="s">
        <v>305</v>
      </c>
      <c r="AP154" s="82" t="b">
        <v>0</v>
      </c>
      <c r="AQ154" s="87" t="s">
        <v>831</v>
      </c>
      <c r="AR154" s="82" t="s">
        <v>211</v>
      </c>
      <c r="AS154" s="82">
        <v>0</v>
      </c>
      <c r="AT154" s="82">
        <v>0</v>
      </c>
      <c r="AU154" s="82"/>
      <c r="AV154" s="82"/>
      <c r="AW154" s="82"/>
      <c r="AX154" s="82"/>
      <c r="AY154" s="82"/>
      <c r="AZ154" s="82"/>
      <c r="BA154" s="82"/>
      <c r="BB154" s="82"/>
      <c r="BC154">
        <v>142</v>
      </c>
      <c r="BD154" s="81" t="str">
        <f>REPLACE(INDEX(GroupVertices[Group],MATCH(Edges[[#This Row],[Vertex 1]],GroupVertices[Vertex],0)),1,1,"")</f>
        <v>2</v>
      </c>
      <c r="BE154" s="81" t="str">
        <f>REPLACE(INDEX(GroupVertices[Group],MATCH(Edges[[#This Row],[Vertex 2]],GroupVertices[Vertex],0)),1,1,"")</f>
        <v>2</v>
      </c>
      <c r="BF154" s="49">
        <v>0</v>
      </c>
      <c r="BG154" s="50">
        <v>0</v>
      </c>
      <c r="BH154" s="49">
        <v>0</v>
      </c>
      <c r="BI154" s="50">
        <v>0</v>
      </c>
      <c r="BJ154" s="49">
        <v>0</v>
      </c>
      <c r="BK154" s="50">
        <v>0</v>
      </c>
      <c r="BL154" s="49">
        <v>20</v>
      </c>
      <c r="BM154" s="50">
        <v>100</v>
      </c>
      <c r="BN154" s="49">
        <v>20</v>
      </c>
    </row>
    <row r="155" spans="1:66" ht="15">
      <c r="A155" s="66" t="s">
        <v>305</v>
      </c>
      <c r="B155" s="66" t="s">
        <v>305</v>
      </c>
      <c r="C155" s="67" t="s">
        <v>2140</v>
      </c>
      <c r="D155" s="68">
        <v>3</v>
      </c>
      <c r="E155" s="69" t="s">
        <v>136</v>
      </c>
      <c r="F155" s="70">
        <v>6</v>
      </c>
      <c r="G155" s="67"/>
      <c r="H155" s="71"/>
      <c r="I155" s="72"/>
      <c r="J155" s="72"/>
      <c r="K155" s="35" t="s">
        <v>65</v>
      </c>
      <c r="L155" s="80">
        <v>155</v>
      </c>
      <c r="M155" s="80"/>
      <c r="N155" s="74"/>
      <c r="O155" s="82" t="s">
        <v>211</v>
      </c>
      <c r="P155" s="84">
        <v>44724.85178240741</v>
      </c>
      <c r="Q155" s="82" t="s">
        <v>413</v>
      </c>
      <c r="R155" s="82"/>
      <c r="S155" s="82"/>
      <c r="T155" s="82"/>
      <c r="U155" s="82"/>
      <c r="V155" s="85" t="str">
        <f>HYPERLINK("https://pbs.twimg.com/profile_images/825717962481029123/h6cXfTnb_normal.jpg")</f>
        <v>https://pbs.twimg.com/profile_images/825717962481029123/h6cXfTnb_normal.jpg</v>
      </c>
      <c r="W155" s="84">
        <v>44724.85178240741</v>
      </c>
      <c r="X155" s="89">
        <v>44724</v>
      </c>
      <c r="Y155" s="87" t="s">
        <v>641</v>
      </c>
      <c r="Z155" s="85" t="str">
        <f>HYPERLINK("https://twitter.com/chombotofficial/status/1536082555384078336")</f>
        <v>https://twitter.com/chombotofficial/status/1536082555384078336</v>
      </c>
      <c r="AA155" s="82"/>
      <c r="AB155" s="82"/>
      <c r="AC155" s="87" t="s">
        <v>832</v>
      </c>
      <c r="AD155" s="82"/>
      <c r="AE155" s="82" t="b">
        <v>0</v>
      </c>
      <c r="AF155" s="82">
        <v>0</v>
      </c>
      <c r="AG155" s="87" t="s">
        <v>957</v>
      </c>
      <c r="AH155" s="82" t="b">
        <v>0</v>
      </c>
      <c r="AI155" s="82" t="s">
        <v>973</v>
      </c>
      <c r="AJ155" s="82"/>
      <c r="AK155" s="87" t="s">
        <v>957</v>
      </c>
      <c r="AL155" s="82" t="b">
        <v>0</v>
      </c>
      <c r="AM155" s="82">
        <v>0</v>
      </c>
      <c r="AN155" s="87" t="s">
        <v>957</v>
      </c>
      <c r="AO155" s="87" t="s">
        <v>305</v>
      </c>
      <c r="AP155" s="82" t="b">
        <v>0</v>
      </c>
      <c r="AQ155" s="87" t="s">
        <v>832</v>
      </c>
      <c r="AR155" s="82" t="s">
        <v>211</v>
      </c>
      <c r="AS155" s="82">
        <v>0</v>
      </c>
      <c r="AT155" s="82">
        <v>0</v>
      </c>
      <c r="AU155" s="82"/>
      <c r="AV155" s="82"/>
      <c r="AW155" s="82"/>
      <c r="AX155" s="82"/>
      <c r="AY155" s="82"/>
      <c r="AZ155" s="82"/>
      <c r="BA155" s="82"/>
      <c r="BB155" s="82"/>
      <c r="BC155">
        <v>142</v>
      </c>
      <c r="BD155" s="81" t="str">
        <f>REPLACE(INDEX(GroupVertices[Group],MATCH(Edges[[#This Row],[Vertex 1]],GroupVertices[Vertex],0)),1,1,"")</f>
        <v>2</v>
      </c>
      <c r="BE155" s="81" t="str">
        <f>REPLACE(INDEX(GroupVertices[Group],MATCH(Edges[[#This Row],[Vertex 2]],GroupVertices[Vertex],0)),1,1,"")</f>
        <v>2</v>
      </c>
      <c r="BF155" s="49">
        <v>0</v>
      </c>
      <c r="BG155" s="50">
        <v>0</v>
      </c>
      <c r="BH155" s="49">
        <v>0</v>
      </c>
      <c r="BI155" s="50">
        <v>0</v>
      </c>
      <c r="BJ155" s="49">
        <v>0</v>
      </c>
      <c r="BK155" s="50">
        <v>0</v>
      </c>
      <c r="BL155" s="49">
        <v>20</v>
      </c>
      <c r="BM155" s="50">
        <v>100</v>
      </c>
      <c r="BN155" s="49">
        <v>20</v>
      </c>
    </row>
    <row r="156" spans="1:66" ht="15">
      <c r="A156" s="66" t="s">
        <v>305</v>
      </c>
      <c r="B156" s="66" t="s">
        <v>305</v>
      </c>
      <c r="C156" s="67" t="s">
        <v>2140</v>
      </c>
      <c r="D156" s="68">
        <v>3</v>
      </c>
      <c r="E156" s="69" t="s">
        <v>136</v>
      </c>
      <c r="F156" s="70">
        <v>6</v>
      </c>
      <c r="G156" s="67"/>
      <c r="H156" s="71"/>
      <c r="I156" s="72"/>
      <c r="J156" s="72"/>
      <c r="K156" s="35" t="s">
        <v>65</v>
      </c>
      <c r="L156" s="80">
        <v>156</v>
      </c>
      <c r="M156" s="80"/>
      <c r="N156" s="74"/>
      <c r="O156" s="82" t="s">
        <v>211</v>
      </c>
      <c r="P156" s="84">
        <v>44724.92471064815</v>
      </c>
      <c r="Q156" s="82" t="s">
        <v>414</v>
      </c>
      <c r="R156" s="82"/>
      <c r="S156" s="82"/>
      <c r="T156" s="82"/>
      <c r="U156" s="82"/>
      <c r="V156" s="85" t="str">
        <f>HYPERLINK("https://pbs.twimg.com/profile_images/825717962481029123/h6cXfTnb_normal.jpg")</f>
        <v>https://pbs.twimg.com/profile_images/825717962481029123/h6cXfTnb_normal.jpg</v>
      </c>
      <c r="W156" s="84">
        <v>44724.92471064815</v>
      </c>
      <c r="X156" s="89">
        <v>44724</v>
      </c>
      <c r="Y156" s="87" t="s">
        <v>642</v>
      </c>
      <c r="Z156" s="85" t="str">
        <f>HYPERLINK("https://twitter.com/chombotofficial/status/1536108980371701762")</f>
        <v>https://twitter.com/chombotofficial/status/1536108980371701762</v>
      </c>
      <c r="AA156" s="82"/>
      <c r="AB156" s="82"/>
      <c r="AC156" s="87" t="s">
        <v>833</v>
      </c>
      <c r="AD156" s="82"/>
      <c r="AE156" s="82" t="b">
        <v>0</v>
      </c>
      <c r="AF156" s="82">
        <v>0</v>
      </c>
      <c r="AG156" s="87" t="s">
        <v>957</v>
      </c>
      <c r="AH156" s="82" t="b">
        <v>0</v>
      </c>
      <c r="AI156" s="82" t="s">
        <v>973</v>
      </c>
      <c r="AJ156" s="82"/>
      <c r="AK156" s="87" t="s">
        <v>957</v>
      </c>
      <c r="AL156" s="82" t="b">
        <v>0</v>
      </c>
      <c r="AM156" s="82">
        <v>0</v>
      </c>
      <c r="AN156" s="87" t="s">
        <v>957</v>
      </c>
      <c r="AO156" s="87" t="s">
        <v>305</v>
      </c>
      <c r="AP156" s="82" t="b">
        <v>0</v>
      </c>
      <c r="AQ156" s="87" t="s">
        <v>833</v>
      </c>
      <c r="AR156" s="82" t="s">
        <v>211</v>
      </c>
      <c r="AS156" s="82">
        <v>0</v>
      </c>
      <c r="AT156" s="82">
        <v>0</v>
      </c>
      <c r="AU156" s="82"/>
      <c r="AV156" s="82"/>
      <c r="AW156" s="82"/>
      <c r="AX156" s="82"/>
      <c r="AY156" s="82"/>
      <c r="AZ156" s="82"/>
      <c r="BA156" s="82"/>
      <c r="BB156" s="82"/>
      <c r="BC156">
        <v>142</v>
      </c>
      <c r="BD156" s="81" t="str">
        <f>REPLACE(INDEX(GroupVertices[Group],MATCH(Edges[[#This Row],[Vertex 1]],GroupVertices[Vertex],0)),1,1,"")</f>
        <v>2</v>
      </c>
      <c r="BE156" s="81" t="str">
        <f>REPLACE(INDEX(GroupVertices[Group],MATCH(Edges[[#This Row],[Vertex 2]],GroupVertices[Vertex],0)),1,1,"")</f>
        <v>2</v>
      </c>
      <c r="BF156" s="49">
        <v>0</v>
      </c>
      <c r="BG156" s="50">
        <v>0</v>
      </c>
      <c r="BH156" s="49">
        <v>0</v>
      </c>
      <c r="BI156" s="50">
        <v>0</v>
      </c>
      <c r="BJ156" s="49">
        <v>0</v>
      </c>
      <c r="BK156" s="50">
        <v>0</v>
      </c>
      <c r="BL156" s="49">
        <v>21</v>
      </c>
      <c r="BM156" s="50">
        <v>100</v>
      </c>
      <c r="BN156" s="49">
        <v>21</v>
      </c>
    </row>
    <row r="157" spans="1:66" ht="15">
      <c r="A157" s="66" t="s">
        <v>305</v>
      </c>
      <c r="B157" s="66" t="s">
        <v>305</v>
      </c>
      <c r="C157" s="67" t="s">
        <v>2140</v>
      </c>
      <c r="D157" s="68">
        <v>3</v>
      </c>
      <c r="E157" s="69" t="s">
        <v>136</v>
      </c>
      <c r="F157" s="70">
        <v>6</v>
      </c>
      <c r="G157" s="67"/>
      <c r="H157" s="71"/>
      <c r="I157" s="72"/>
      <c r="J157" s="72"/>
      <c r="K157" s="35" t="s">
        <v>65</v>
      </c>
      <c r="L157" s="80">
        <v>157</v>
      </c>
      <c r="M157" s="80"/>
      <c r="N157" s="74"/>
      <c r="O157" s="82" t="s">
        <v>211</v>
      </c>
      <c r="P157" s="84">
        <v>44724.949016203704</v>
      </c>
      <c r="Q157" s="82" t="s">
        <v>415</v>
      </c>
      <c r="R157" s="82"/>
      <c r="S157" s="82"/>
      <c r="T157" s="82"/>
      <c r="U157" s="82"/>
      <c r="V157" s="85" t="str">
        <f>HYPERLINK("https://pbs.twimg.com/profile_images/825717962481029123/h6cXfTnb_normal.jpg")</f>
        <v>https://pbs.twimg.com/profile_images/825717962481029123/h6cXfTnb_normal.jpg</v>
      </c>
      <c r="W157" s="84">
        <v>44724.949016203704</v>
      </c>
      <c r="X157" s="89">
        <v>44724</v>
      </c>
      <c r="Y157" s="87" t="s">
        <v>643</v>
      </c>
      <c r="Z157" s="85" t="str">
        <f>HYPERLINK("https://twitter.com/chombotofficial/status/1536117789676687360")</f>
        <v>https://twitter.com/chombotofficial/status/1536117789676687360</v>
      </c>
      <c r="AA157" s="82"/>
      <c r="AB157" s="82"/>
      <c r="AC157" s="87" t="s">
        <v>834</v>
      </c>
      <c r="AD157" s="82"/>
      <c r="AE157" s="82" t="b">
        <v>0</v>
      </c>
      <c r="AF157" s="82">
        <v>0</v>
      </c>
      <c r="AG157" s="87" t="s">
        <v>957</v>
      </c>
      <c r="AH157" s="82" t="b">
        <v>0</v>
      </c>
      <c r="AI157" s="82" t="s">
        <v>973</v>
      </c>
      <c r="AJ157" s="82"/>
      <c r="AK157" s="87" t="s">
        <v>957</v>
      </c>
      <c r="AL157" s="82" t="b">
        <v>0</v>
      </c>
      <c r="AM157" s="82">
        <v>0</v>
      </c>
      <c r="AN157" s="87" t="s">
        <v>957</v>
      </c>
      <c r="AO157" s="87" t="s">
        <v>305</v>
      </c>
      <c r="AP157" s="82" t="b">
        <v>0</v>
      </c>
      <c r="AQ157" s="87" t="s">
        <v>834</v>
      </c>
      <c r="AR157" s="82" t="s">
        <v>211</v>
      </c>
      <c r="AS157" s="82">
        <v>0</v>
      </c>
      <c r="AT157" s="82">
        <v>0</v>
      </c>
      <c r="AU157" s="82"/>
      <c r="AV157" s="82"/>
      <c r="AW157" s="82"/>
      <c r="AX157" s="82"/>
      <c r="AY157" s="82"/>
      <c r="AZ157" s="82"/>
      <c r="BA157" s="82"/>
      <c r="BB157" s="82"/>
      <c r="BC157">
        <v>142</v>
      </c>
      <c r="BD157" s="81" t="str">
        <f>REPLACE(INDEX(GroupVertices[Group],MATCH(Edges[[#This Row],[Vertex 1]],GroupVertices[Vertex],0)),1,1,"")</f>
        <v>2</v>
      </c>
      <c r="BE157" s="81" t="str">
        <f>REPLACE(INDEX(GroupVertices[Group],MATCH(Edges[[#This Row],[Vertex 2]],GroupVertices[Vertex],0)),1,1,"")</f>
        <v>2</v>
      </c>
      <c r="BF157" s="49">
        <v>0</v>
      </c>
      <c r="BG157" s="50">
        <v>0</v>
      </c>
      <c r="BH157" s="49">
        <v>1</v>
      </c>
      <c r="BI157" s="50">
        <v>5.555555555555555</v>
      </c>
      <c r="BJ157" s="49">
        <v>0</v>
      </c>
      <c r="BK157" s="50">
        <v>0</v>
      </c>
      <c r="BL157" s="49">
        <v>17</v>
      </c>
      <c r="BM157" s="50">
        <v>94.44444444444444</v>
      </c>
      <c r="BN157" s="49">
        <v>18</v>
      </c>
    </row>
    <row r="158" spans="1:66" ht="15">
      <c r="A158" s="66" t="s">
        <v>305</v>
      </c>
      <c r="B158" s="66" t="s">
        <v>305</v>
      </c>
      <c r="C158" s="67" t="s">
        <v>2140</v>
      </c>
      <c r="D158" s="68">
        <v>3</v>
      </c>
      <c r="E158" s="69" t="s">
        <v>136</v>
      </c>
      <c r="F158" s="70">
        <v>6</v>
      </c>
      <c r="G158" s="67"/>
      <c r="H158" s="71"/>
      <c r="I158" s="72"/>
      <c r="J158" s="72"/>
      <c r="K158" s="35" t="s">
        <v>65</v>
      </c>
      <c r="L158" s="80">
        <v>158</v>
      </c>
      <c r="M158" s="80"/>
      <c r="N158" s="74"/>
      <c r="O158" s="82" t="s">
        <v>211</v>
      </c>
      <c r="P158" s="84">
        <v>44724.95248842592</v>
      </c>
      <c r="Q158" s="82" t="s">
        <v>416</v>
      </c>
      <c r="R158" s="82"/>
      <c r="S158" s="82"/>
      <c r="T158" s="82"/>
      <c r="U158" s="82"/>
      <c r="V158" s="85" t="str">
        <f>HYPERLINK("https://pbs.twimg.com/profile_images/825717962481029123/h6cXfTnb_normal.jpg")</f>
        <v>https://pbs.twimg.com/profile_images/825717962481029123/h6cXfTnb_normal.jpg</v>
      </c>
      <c r="W158" s="84">
        <v>44724.95248842592</v>
      </c>
      <c r="X158" s="89">
        <v>44724</v>
      </c>
      <c r="Y158" s="87" t="s">
        <v>644</v>
      </c>
      <c r="Z158" s="85" t="str">
        <f>HYPERLINK("https://twitter.com/chombotofficial/status/1536119049456865282")</f>
        <v>https://twitter.com/chombotofficial/status/1536119049456865282</v>
      </c>
      <c r="AA158" s="82"/>
      <c r="AB158" s="82"/>
      <c r="AC158" s="87" t="s">
        <v>835</v>
      </c>
      <c r="AD158" s="82"/>
      <c r="AE158" s="82" t="b">
        <v>0</v>
      </c>
      <c r="AF158" s="82">
        <v>0</v>
      </c>
      <c r="AG158" s="87" t="s">
        <v>957</v>
      </c>
      <c r="AH158" s="82" t="b">
        <v>0</v>
      </c>
      <c r="AI158" s="82" t="s">
        <v>973</v>
      </c>
      <c r="AJ158" s="82"/>
      <c r="AK158" s="87" t="s">
        <v>957</v>
      </c>
      <c r="AL158" s="82" t="b">
        <v>0</v>
      </c>
      <c r="AM158" s="82">
        <v>0</v>
      </c>
      <c r="AN158" s="87" t="s">
        <v>957</v>
      </c>
      <c r="AO158" s="87" t="s">
        <v>305</v>
      </c>
      <c r="AP158" s="82" t="b">
        <v>0</v>
      </c>
      <c r="AQ158" s="87" t="s">
        <v>835</v>
      </c>
      <c r="AR158" s="82" t="s">
        <v>211</v>
      </c>
      <c r="AS158" s="82">
        <v>0</v>
      </c>
      <c r="AT158" s="82">
        <v>0</v>
      </c>
      <c r="AU158" s="82"/>
      <c r="AV158" s="82"/>
      <c r="AW158" s="82"/>
      <c r="AX158" s="82"/>
      <c r="AY158" s="82"/>
      <c r="AZ158" s="82"/>
      <c r="BA158" s="82"/>
      <c r="BB158" s="82"/>
      <c r="BC158">
        <v>142</v>
      </c>
      <c r="BD158" s="81" t="str">
        <f>REPLACE(INDEX(GroupVertices[Group],MATCH(Edges[[#This Row],[Vertex 1]],GroupVertices[Vertex],0)),1,1,"")</f>
        <v>2</v>
      </c>
      <c r="BE158" s="81" t="str">
        <f>REPLACE(INDEX(GroupVertices[Group],MATCH(Edges[[#This Row],[Vertex 2]],GroupVertices[Vertex],0)),1,1,"")</f>
        <v>2</v>
      </c>
      <c r="BF158" s="49">
        <v>1</v>
      </c>
      <c r="BG158" s="50">
        <v>5.882352941176471</v>
      </c>
      <c r="BH158" s="49">
        <v>1</v>
      </c>
      <c r="BI158" s="50">
        <v>5.882352941176471</v>
      </c>
      <c r="BJ158" s="49">
        <v>0</v>
      </c>
      <c r="BK158" s="50">
        <v>0</v>
      </c>
      <c r="BL158" s="49">
        <v>15</v>
      </c>
      <c r="BM158" s="50">
        <v>88.23529411764706</v>
      </c>
      <c r="BN158" s="49">
        <v>17</v>
      </c>
    </row>
    <row r="159" spans="1:66" ht="15">
      <c r="A159" s="66" t="s">
        <v>305</v>
      </c>
      <c r="B159" s="66" t="s">
        <v>305</v>
      </c>
      <c r="C159" s="67" t="s">
        <v>2140</v>
      </c>
      <c r="D159" s="68">
        <v>3</v>
      </c>
      <c r="E159" s="69" t="s">
        <v>136</v>
      </c>
      <c r="F159" s="70">
        <v>6</v>
      </c>
      <c r="G159" s="67"/>
      <c r="H159" s="71"/>
      <c r="I159" s="72"/>
      <c r="J159" s="72"/>
      <c r="K159" s="35" t="s">
        <v>65</v>
      </c>
      <c r="L159" s="80">
        <v>159</v>
      </c>
      <c r="M159" s="80"/>
      <c r="N159" s="74"/>
      <c r="O159" s="82" t="s">
        <v>211</v>
      </c>
      <c r="P159" s="84">
        <v>44725.01498842592</v>
      </c>
      <c r="Q159" s="82" t="s">
        <v>417</v>
      </c>
      <c r="R159" s="82"/>
      <c r="S159" s="82"/>
      <c r="T159" s="82"/>
      <c r="U159" s="82"/>
      <c r="V159" s="85" t="str">
        <f>HYPERLINK("https://pbs.twimg.com/profile_images/825717962481029123/h6cXfTnb_normal.jpg")</f>
        <v>https://pbs.twimg.com/profile_images/825717962481029123/h6cXfTnb_normal.jpg</v>
      </c>
      <c r="W159" s="84">
        <v>44725.01498842592</v>
      </c>
      <c r="X159" s="89">
        <v>44725</v>
      </c>
      <c r="Y159" s="87" t="s">
        <v>645</v>
      </c>
      <c r="Z159" s="85" t="str">
        <f>HYPERLINK("https://twitter.com/chombotofficial/status/1536141695934398464")</f>
        <v>https://twitter.com/chombotofficial/status/1536141695934398464</v>
      </c>
      <c r="AA159" s="82"/>
      <c r="AB159" s="82"/>
      <c r="AC159" s="87" t="s">
        <v>836</v>
      </c>
      <c r="AD159" s="82"/>
      <c r="AE159" s="82" t="b">
        <v>0</v>
      </c>
      <c r="AF159" s="82">
        <v>0</v>
      </c>
      <c r="AG159" s="87" t="s">
        <v>957</v>
      </c>
      <c r="AH159" s="82" t="b">
        <v>0</v>
      </c>
      <c r="AI159" s="82" t="s">
        <v>973</v>
      </c>
      <c r="AJ159" s="82"/>
      <c r="AK159" s="87" t="s">
        <v>957</v>
      </c>
      <c r="AL159" s="82" t="b">
        <v>0</v>
      </c>
      <c r="AM159" s="82">
        <v>0</v>
      </c>
      <c r="AN159" s="87" t="s">
        <v>957</v>
      </c>
      <c r="AO159" s="87" t="s">
        <v>305</v>
      </c>
      <c r="AP159" s="82" t="b">
        <v>0</v>
      </c>
      <c r="AQ159" s="87" t="s">
        <v>836</v>
      </c>
      <c r="AR159" s="82" t="s">
        <v>211</v>
      </c>
      <c r="AS159" s="82">
        <v>0</v>
      </c>
      <c r="AT159" s="82">
        <v>0</v>
      </c>
      <c r="AU159" s="82"/>
      <c r="AV159" s="82"/>
      <c r="AW159" s="82"/>
      <c r="AX159" s="82"/>
      <c r="AY159" s="82"/>
      <c r="AZ159" s="82"/>
      <c r="BA159" s="82"/>
      <c r="BB159" s="82"/>
      <c r="BC159">
        <v>142</v>
      </c>
      <c r="BD159" s="81" t="str">
        <f>REPLACE(INDEX(GroupVertices[Group],MATCH(Edges[[#This Row],[Vertex 1]],GroupVertices[Vertex],0)),1,1,"")</f>
        <v>2</v>
      </c>
      <c r="BE159" s="81" t="str">
        <f>REPLACE(INDEX(GroupVertices[Group],MATCH(Edges[[#This Row],[Vertex 2]],GroupVertices[Vertex],0)),1,1,"")</f>
        <v>2</v>
      </c>
      <c r="BF159" s="49">
        <v>0</v>
      </c>
      <c r="BG159" s="50">
        <v>0</v>
      </c>
      <c r="BH159" s="49">
        <v>2</v>
      </c>
      <c r="BI159" s="50">
        <v>8</v>
      </c>
      <c r="BJ159" s="49">
        <v>0</v>
      </c>
      <c r="BK159" s="50">
        <v>0</v>
      </c>
      <c r="BL159" s="49">
        <v>23</v>
      </c>
      <c r="BM159" s="50">
        <v>92</v>
      </c>
      <c r="BN159" s="49">
        <v>25</v>
      </c>
    </row>
    <row r="160" spans="1:66" ht="15">
      <c r="A160" s="66" t="s">
        <v>305</v>
      </c>
      <c r="B160" s="66" t="s">
        <v>305</v>
      </c>
      <c r="C160" s="67" t="s">
        <v>2140</v>
      </c>
      <c r="D160" s="68">
        <v>3</v>
      </c>
      <c r="E160" s="69" t="s">
        <v>136</v>
      </c>
      <c r="F160" s="70">
        <v>6</v>
      </c>
      <c r="G160" s="67"/>
      <c r="H160" s="71"/>
      <c r="I160" s="72"/>
      <c r="J160" s="72"/>
      <c r="K160" s="35" t="s">
        <v>65</v>
      </c>
      <c r="L160" s="80">
        <v>160</v>
      </c>
      <c r="M160" s="80"/>
      <c r="N160" s="74"/>
      <c r="O160" s="82" t="s">
        <v>211</v>
      </c>
      <c r="P160" s="84">
        <v>44725.08094907407</v>
      </c>
      <c r="Q160" s="82" t="s">
        <v>418</v>
      </c>
      <c r="R160" s="82"/>
      <c r="S160" s="82"/>
      <c r="T160" s="82"/>
      <c r="U160" s="82"/>
      <c r="V160" s="85" t="str">
        <f>HYPERLINK("https://pbs.twimg.com/profile_images/825717962481029123/h6cXfTnb_normal.jpg")</f>
        <v>https://pbs.twimg.com/profile_images/825717962481029123/h6cXfTnb_normal.jpg</v>
      </c>
      <c r="W160" s="84">
        <v>44725.08094907407</v>
      </c>
      <c r="X160" s="89">
        <v>44725</v>
      </c>
      <c r="Y160" s="87" t="s">
        <v>623</v>
      </c>
      <c r="Z160" s="85" t="str">
        <f>HYPERLINK("https://twitter.com/chombotofficial/status/1536165602439593985")</f>
        <v>https://twitter.com/chombotofficial/status/1536165602439593985</v>
      </c>
      <c r="AA160" s="82"/>
      <c r="AB160" s="82"/>
      <c r="AC160" s="87" t="s">
        <v>837</v>
      </c>
      <c r="AD160" s="82"/>
      <c r="AE160" s="82" t="b">
        <v>0</v>
      </c>
      <c r="AF160" s="82">
        <v>0</v>
      </c>
      <c r="AG160" s="87" t="s">
        <v>957</v>
      </c>
      <c r="AH160" s="82" t="b">
        <v>0</v>
      </c>
      <c r="AI160" s="82" t="s">
        <v>973</v>
      </c>
      <c r="AJ160" s="82"/>
      <c r="AK160" s="87" t="s">
        <v>957</v>
      </c>
      <c r="AL160" s="82" t="b">
        <v>0</v>
      </c>
      <c r="AM160" s="82">
        <v>0</v>
      </c>
      <c r="AN160" s="87" t="s">
        <v>957</v>
      </c>
      <c r="AO160" s="87" t="s">
        <v>305</v>
      </c>
      <c r="AP160" s="82" t="b">
        <v>0</v>
      </c>
      <c r="AQ160" s="87" t="s">
        <v>837</v>
      </c>
      <c r="AR160" s="82" t="s">
        <v>211</v>
      </c>
      <c r="AS160" s="82">
        <v>0</v>
      </c>
      <c r="AT160" s="82">
        <v>0</v>
      </c>
      <c r="AU160" s="82"/>
      <c r="AV160" s="82"/>
      <c r="AW160" s="82"/>
      <c r="AX160" s="82"/>
      <c r="AY160" s="82"/>
      <c r="AZ160" s="82"/>
      <c r="BA160" s="82"/>
      <c r="BB160" s="82"/>
      <c r="BC160">
        <v>142</v>
      </c>
      <c r="BD160" s="81" t="str">
        <f>REPLACE(INDEX(GroupVertices[Group],MATCH(Edges[[#This Row],[Vertex 1]],GroupVertices[Vertex],0)),1,1,"")</f>
        <v>2</v>
      </c>
      <c r="BE160" s="81"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6" t="s">
        <v>305</v>
      </c>
      <c r="B161" s="66" t="s">
        <v>305</v>
      </c>
      <c r="C161" s="67" t="s">
        <v>2140</v>
      </c>
      <c r="D161" s="68">
        <v>3</v>
      </c>
      <c r="E161" s="69" t="s">
        <v>136</v>
      </c>
      <c r="F161" s="70">
        <v>6</v>
      </c>
      <c r="G161" s="67"/>
      <c r="H161" s="71"/>
      <c r="I161" s="72"/>
      <c r="J161" s="72"/>
      <c r="K161" s="35" t="s">
        <v>65</v>
      </c>
      <c r="L161" s="80">
        <v>161</v>
      </c>
      <c r="M161" s="80"/>
      <c r="N161" s="74"/>
      <c r="O161" s="82" t="s">
        <v>211</v>
      </c>
      <c r="P161" s="84">
        <v>44725.08443287037</v>
      </c>
      <c r="Q161" s="82" t="s">
        <v>419</v>
      </c>
      <c r="R161" s="82"/>
      <c r="S161" s="82"/>
      <c r="T161" s="82"/>
      <c r="U161" s="82"/>
      <c r="V161" s="85" t="str">
        <f>HYPERLINK("https://pbs.twimg.com/profile_images/825717962481029123/h6cXfTnb_normal.jpg")</f>
        <v>https://pbs.twimg.com/profile_images/825717962481029123/h6cXfTnb_normal.jpg</v>
      </c>
      <c r="W161" s="84">
        <v>44725.08443287037</v>
      </c>
      <c r="X161" s="89">
        <v>44725</v>
      </c>
      <c r="Y161" s="87" t="s">
        <v>631</v>
      </c>
      <c r="Z161" s="85" t="str">
        <f>HYPERLINK("https://twitter.com/chombotofficial/status/1536166862685360128")</f>
        <v>https://twitter.com/chombotofficial/status/1536166862685360128</v>
      </c>
      <c r="AA161" s="82"/>
      <c r="AB161" s="82"/>
      <c r="AC161" s="87" t="s">
        <v>838</v>
      </c>
      <c r="AD161" s="82"/>
      <c r="AE161" s="82" t="b">
        <v>0</v>
      </c>
      <c r="AF161" s="82">
        <v>0</v>
      </c>
      <c r="AG161" s="87" t="s">
        <v>957</v>
      </c>
      <c r="AH161" s="82" t="b">
        <v>0</v>
      </c>
      <c r="AI161" s="82" t="s">
        <v>973</v>
      </c>
      <c r="AJ161" s="82"/>
      <c r="AK161" s="87" t="s">
        <v>957</v>
      </c>
      <c r="AL161" s="82" t="b">
        <v>0</v>
      </c>
      <c r="AM161" s="82">
        <v>0</v>
      </c>
      <c r="AN161" s="87" t="s">
        <v>957</v>
      </c>
      <c r="AO161" s="87" t="s">
        <v>305</v>
      </c>
      <c r="AP161" s="82" t="b">
        <v>0</v>
      </c>
      <c r="AQ161" s="87" t="s">
        <v>838</v>
      </c>
      <c r="AR161" s="82" t="s">
        <v>211</v>
      </c>
      <c r="AS161" s="82">
        <v>0</v>
      </c>
      <c r="AT161" s="82">
        <v>0</v>
      </c>
      <c r="AU161" s="82"/>
      <c r="AV161" s="82"/>
      <c r="AW161" s="82"/>
      <c r="AX161" s="82"/>
      <c r="AY161" s="82"/>
      <c r="AZ161" s="82"/>
      <c r="BA161" s="82"/>
      <c r="BB161" s="82"/>
      <c r="BC161">
        <v>142</v>
      </c>
      <c r="BD161" s="81" t="str">
        <f>REPLACE(INDEX(GroupVertices[Group],MATCH(Edges[[#This Row],[Vertex 1]],GroupVertices[Vertex],0)),1,1,"")</f>
        <v>2</v>
      </c>
      <c r="BE161" s="81" t="str">
        <f>REPLACE(INDEX(GroupVertices[Group],MATCH(Edges[[#This Row],[Vertex 2]],GroupVertices[Vertex],0)),1,1,"")</f>
        <v>2</v>
      </c>
      <c r="BF161" s="49">
        <v>0</v>
      </c>
      <c r="BG161" s="50">
        <v>0</v>
      </c>
      <c r="BH161" s="49">
        <v>1</v>
      </c>
      <c r="BI161" s="50">
        <v>4.3478260869565215</v>
      </c>
      <c r="BJ161" s="49">
        <v>0</v>
      </c>
      <c r="BK161" s="50">
        <v>0</v>
      </c>
      <c r="BL161" s="49">
        <v>22</v>
      </c>
      <c r="BM161" s="50">
        <v>95.65217391304348</v>
      </c>
      <c r="BN161" s="49">
        <v>23</v>
      </c>
    </row>
    <row r="162" spans="1:66" ht="15">
      <c r="A162" s="66" t="s">
        <v>305</v>
      </c>
      <c r="B162" s="66" t="s">
        <v>305</v>
      </c>
      <c r="C162" s="67" t="s">
        <v>2140</v>
      </c>
      <c r="D162" s="68">
        <v>3</v>
      </c>
      <c r="E162" s="69" t="s">
        <v>136</v>
      </c>
      <c r="F162" s="70">
        <v>6</v>
      </c>
      <c r="G162" s="67"/>
      <c r="H162" s="71"/>
      <c r="I162" s="72"/>
      <c r="J162" s="72"/>
      <c r="K162" s="35" t="s">
        <v>65</v>
      </c>
      <c r="L162" s="80">
        <v>162</v>
      </c>
      <c r="M162" s="80"/>
      <c r="N162" s="74"/>
      <c r="O162" s="82" t="s">
        <v>211</v>
      </c>
      <c r="P162" s="84">
        <v>44725.133043981485</v>
      </c>
      <c r="Q162" s="82" t="s">
        <v>420</v>
      </c>
      <c r="R162" s="82"/>
      <c r="S162" s="82"/>
      <c r="T162" s="82"/>
      <c r="U162" s="82"/>
      <c r="V162" s="85" t="str">
        <f>HYPERLINK("https://pbs.twimg.com/profile_images/825717962481029123/h6cXfTnb_normal.jpg")</f>
        <v>https://pbs.twimg.com/profile_images/825717962481029123/h6cXfTnb_normal.jpg</v>
      </c>
      <c r="W162" s="84">
        <v>44725.133043981485</v>
      </c>
      <c r="X162" s="89">
        <v>44725</v>
      </c>
      <c r="Y162" s="87" t="s">
        <v>646</v>
      </c>
      <c r="Z162" s="85" t="str">
        <f>HYPERLINK("https://twitter.com/chombotofficial/status/1536184478854438917")</f>
        <v>https://twitter.com/chombotofficial/status/1536184478854438917</v>
      </c>
      <c r="AA162" s="82"/>
      <c r="AB162" s="82"/>
      <c r="AC162" s="87" t="s">
        <v>839</v>
      </c>
      <c r="AD162" s="82"/>
      <c r="AE162" s="82" t="b">
        <v>0</v>
      </c>
      <c r="AF162" s="82">
        <v>0</v>
      </c>
      <c r="AG162" s="87" t="s">
        <v>957</v>
      </c>
      <c r="AH162" s="82" t="b">
        <v>0</v>
      </c>
      <c r="AI162" s="82" t="s">
        <v>973</v>
      </c>
      <c r="AJ162" s="82"/>
      <c r="AK162" s="87" t="s">
        <v>957</v>
      </c>
      <c r="AL162" s="82" t="b">
        <v>0</v>
      </c>
      <c r="AM162" s="82">
        <v>0</v>
      </c>
      <c r="AN162" s="87" t="s">
        <v>957</v>
      </c>
      <c r="AO162" s="87" t="s">
        <v>305</v>
      </c>
      <c r="AP162" s="82" t="b">
        <v>0</v>
      </c>
      <c r="AQ162" s="87" t="s">
        <v>839</v>
      </c>
      <c r="AR162" s="82" t="s">
        <v>211</v>
      </c>
      <c r="AS162" s="82">
        <v>0</v>
      </c>
      <c r="AT162" s="82">
        <v>0</v>
      </c>
      <c r="AU162" s="82"/>
      <c r="AV162" s="82"/>
      <c r="AW162" s="82"/>
      <c r="AX162" s="82"/>
      <c r="AY162" s="82"/>
      <c r="AZ162" s="82"/>
      <c r="BA162" s="82"/>
      <c r="BB162" s="82"/>
      <c r="BC162">
        <v>142</v>
      </c>
      <c r="BD162" s="81" t="str">
        <f>REPLACE(INDEX(GroupVertices[Group],MATCH(Edges[[#This Row],[Vertex 1]],GroupVertices[Vertex],0)),1,1,"")</f>
        <v>2</v>
      </c>
      <c r="BE162" s="81" t="str">
        <f>REPLACE(INDEX(GroupVertices[Group],MATCH(Edges[[#This Row],[Vertex 2]],GroupVertices[Vertex],0)),1,1,"")</f>
        <v>2</v>
      </c>
      <c r="BF162" s="49">
        <v>0</v>
      </c>
      <c r="BG162" s="50">
        <v>0</v>
      </c>
      <c r="BH162" s="49">
        <v>1</v>
      </c>
      <c r="BI162" s="50">
        <v>5.2631578947368425</v>
      </c>
      <c r="BJ162" s="49">
        <v>0</v>
      </c>
      <c r="BK162" s="50">
        <v>0</v>
      </c>
      <c r="BL162" s="49">
        <v>18</v>
      </c>
      <c r="BM162" s="50">
        <v>94.73684210526316</v>
      </c>
      <c r="BN162" s="49">
        <v>19</v>
      </c>
    </row>
    <row r="163" spans="1:66" ht="15">
      <c r="A163" s="66" t="s">
        <v>305</v>
      </c>
      <c r="B163" s="66" t="s">
        <v>305</v>
      </c>
      <c r="C163" s="67" t="s">
        <v>2140</v>
      </c>
      <c r="D163" s="68">
        <v>3</v>
      </c>
      <c r="E163" s="69" t="s">
        <v>136</v>
      </c>
      <c r="F163" s="70">
        <v>6</v>
      </c>
      <c r="G163" s="67"/>
      <c r="H163" s="71"/>
      <c r="I163" s="72"/>
      <c r="J163" s="72"/>
      <c r="K163" s="35" t="s">
        <v>65</v>
      </c>
      <c r="L163" s="80">
        <v>163</v>
      </c>
      <c r="M163" s="80"/>
      <c r="N163" s="74"/>
      <c r="O163" s="82" t="s">
        <v>211</v>
      </c>
      <c r="P163" s="84">
        <v>44725.35873842592</v>
      </c>
      <c r="Q163" s="82" t="s">
        <v>421</v>
      </c>
      <c r="R163" s="82"/>
      <c r="S163" s="82"/>
      <c r="T163" s="82"/>
      <c r="U163" s="82"/>
      <c r="V163" s="85" t="str">
        <f>HYPERLINK("https://pbs.twimg.com/profile_images/825717962481029123/h6cXfTnb_normal.jpg")</f>
        <v>https://pbs.twimg.com/profile_images/825717962481029123/h6cXfTnb_normal.jpg</v>
      </c>
      <c r="W163" s="84">
        <v>44725.35873842592</v>
      </c>
      <c r="X163" s="89">
        <v>44725</v>
      </c>
      <c r="Y163" s="87" t="s">
        <v>647</v>
      </c>
      <c r="Z163" s="85" t="str">
        <f>HYPERLINK("https://twitter.com/chombotofficial/status/1536266267136499713")</f>
        <v>https://twitter.com/chombotofficial/status/1536266267136499713</v>
      </c>
      <c r="AA163" s="82"/>
      <c r="AB163" s="82"/>
      <c r="AC163" s="87" t="s">
        <v>840</v>
      </c>
      <c r="AD163" s="82"/>
      <c r="AE163" s="82" t="b">
        <v>0</v>
      </c>
      <c r="AF163" s="82">
        <v>0</v>
      </c>
      <c r="AG163" s="87" t="s">
        <v>957</v>
      </c>
      <c r="AH163" s="82" t="b">
        <v>0</v>
      </c>
      <c r="AI163" s="82" t="s">
        <v>973</v>
      </c>
      <c r="AJ163" s="82"/>
      <c r="AK163" s="87" t="s">
        <v>957</v>
      </c>
      <c r="AL163" s="82" t="b">
        <v>0</v>
      </c>
      <c r="AM163" s="82">
        <v>0</v>
      </c>
      <c r="AN163" s="87" t="s">
        <v>957</v>
      </c>
      <c r="AO163" s="87" t="s">
        <v>305</v>
      </c>
      <c r="AP163" s="82" t="b">
        <v>0</v>
      </c>
      <c r="AQ163" s="87" t="s">
        <v>840</v>
      </c>
      <c r="AR163" s="82" t="s">
        <v>211</v>
      </c>
      <c r="AS163" s="82">
        <v>0</v>
      </c>
      <c r="AT163" s="82">
        <v>0</v>
      </c>
      <c r="AU163" s="82"/>
      <c r="AV163" s="82"/>
      <c r="AW163" s="82"/>
      <c r="AX163" s="82"/>
      <c r="AY163" s="82"/>
      <c r="AZ163" s="82"/>
      <c r="BA163" s="82"/>
      <c r="BB163" s="82"/>
      <c r="BC163">
        <v>142</v>
      </c>
      <c r="BD163" s="81" t="str">
        <f>REPLACE(INDEX(GroupVertices[Group],MATCH(Edges[[#This Row],[Vertex 1]],GroupVertices[Vertex],0)),1,1,"")</f>
        <v>2</v>
      </c>
      <c r="BE163" s="81" t="str">
        <f>REPLACE(INDEX(GroupVertices[Group],MATCH(Edges[[#This Row],[Vertex 2]],GroupVertices[Vertex],0)),1,1,"")</f>
        <v>2</v>
      </c>
      <c r="BF163" s="49">
        <v>0</v>
      </c>
      <c r="BG163" s="50">
        <v>0</v>
      </c>
      <c r="BH163" s="49">
        <v>1</v>
      </c>
      <c r="BI163" s="50">
        <v>4.545454545454546</v>
      </c>
      <c r="BJ163" s="49">
        <v>0</v>
      </c>
      <c r="BK163" s="50">
        <v>0</v>
      </c>
      <c r="BL163" s="49">
        <v>21</v>
      </c>
      <c r="BM163" s="50">
        <v>95.45454545454545</v>
      </c>
      <c r="BN163" s="49">
        <v>22</v>
      </c>
    </row>
    <row r="164" spans="1:66" ht="15">
      <c r="A164" s="66" t="s">
        <v>305</v>
      </c>
      <c r="B164" s="66" t="s">
        <v>305</v>
      </c>
      <c r="C164" s="67" t="s">
        <v>2140</v>
      </c>
      <c r="D164" s="68">
        <v>3</v>
      </c>
      <c r="E164" s="69" t="s">
        <v>136</v>
      </c>
      <c r="F164" s="70">
        <v>6</v>
      </c>
      <c r="G164" s="67"/>
      <c r="H164" s="71"/>
      <c r="I164" s="72"/>
      <c r="J164" s="72"/>
      <c r="K164" s="35" t="s">
        <v>65</v>
      </c>
      <c r="L164" s="80">
        <v>164</v>
      </c>
      <c r="M164" s="80"/>
      <c r="N164" s="74"/>
      <c r="O164" s="82" t="s">
        <v>211</v>
      </c>
      <c r="P164" s="84">
        <v>44725.54623842592</v>
      </c>
      <c r="Q164" s="82" t="s">
        <v>422</v>
      </c>
      <c r="R164" s="82"/>
      <c r="S164" s="82"/>
      <c r="T164" s="82"/>
      <c r="U164" s="82"/>
      <c r="V164" s="85" t="str">
        <f>HYPERLINK("https://pbs.twimg.com/profile_images/825717962481029123/h6cXfTnb_normal.jpg")</f>
        <v>https://pbs.twimg.com/profile_images/825717962481029123/h6cXfTnb_normal.jpg</v>
      </c>
      <c r="W164" s="84">
        <v>44725.54623842592</v>
      </c>
      <c r="X164" s="89">
        <v>44725</v>
      </c>
      <c r="Y164" s="87" t="s">
        <v>648</v>
      </c>
      <c r="Z164" s="85" t="str">
        <f>HYPERLINK("https://twitter.com/chombotofficial/status/1536334214605508610")</f>
        <v>https://twitter.com/chombotofficial/status/1536334214605508610</v>
      </c>
      <c r="AA164" s="82"/>
      <c r="AB164" s="82"/>
      <c r="AC164" s="87" t="s">
        <v>841</v>
      </c>
      <c r="AD164" s="82"/>
      <c r="AE164" s="82" t="b">
        <v>0</v>
      </c>
      <c r="AF164" s="82">
        <v>0</v>
      </c>
      <c r="AG164" s="87" t="s">
        <v>957</v>
      </c>
      <c r="AH164" s="82" t="b">
        <v>0</v>
      </c>
      <c r="AI164" s="82" t="s">
        <v>973</v>
      </c>
      <c r="AJ164" s="82"/>
      <c r="AK164" s="87" t="s">
        <v>957</v>
      </c>
      <c r="AL164" s="82" t="b">
        <v>0</v>
      </c>
      <c r="AM164" s="82">
        <v>0</v>
      </c>
      <c r="AN164" s="87" t="s">
        <v>957</v>
      </c>
      <c r="AO164" s="87" t="s">
        <v>305</v>
      </c>
      <c r="AP164" s="82" t="b">
        <v>0</v>
      </c>
      <c r="AQ164" s="87" t="s">
        <v>841</v>
      </c>
      <c r="AR164" s="82" t="s">
        <v>211</v>
      </c>
      <c r="AS164" s="82">
        <v>0</v>
      </c>
      <c r="AT164" s="82">
        <v>0</v>
      </c>
      <c r="AU164" s="82"/>
      <c r="AV164" s="82"/>
      <c r="AW164" s="82"/>
      <c r="AX164" s="82"/>
      <c r="AY164" s="82"/>
      <c r="AZ164" s="82"/>
      <c r="BA164" s="82"/>
      <c r="BB164" s="82"/>
      <c r="BC164">
        <v>142</v>
      </c>
      <c r="BD164" s="81" t="str">
        <f>REPLACE(INDEX(GroupVertices[Group],MATCH(Edges[[#This Row],[Vertex 1]],GroupVertices[Vertex],0)),1,1,"")</f>
        <v>2</v>
      </c>
      <c r="BE164" s="81" t="str">
        <f>REPLACE(INDEX(GroupVertices[Group],MATCH(Edges[[#This Row],[Vertex 2]],GroupVertices[Vertex],0)),1,1,"")</f>
        <v>2</v>
      </c>
      <c r="BF164" s="49">
        <v>0</v>
      </c>
      <c r="BG164" s="50">
        <v>0</v>
      </c>
      <c r="BH164" s="49">
        <v>2</v>
      </c>
      <c r="BI164" s="50">
        <v>9.523809523809524</v>
      </c>
      <c r="BJ164" s="49">
        <v>0</v>
      </c>
      <c r="BK164" s="50">
        <v>0</v>
      </c>
      <c r="BL164" s="49">
        <v>19</v>
      </c>
      <c r="BM164" s="50">
        <v>90.47619047619048</v>
      </c>
      <c r="BN164" s="49">
        <v>21</v>
      </c>
    </row>
    <row r="165" spans="1:66" ht="15">
      <c r="A165" s="66" t="s">
        <v>305</v>
      </c>
      <c r="B165" s="66" t="s">
        <v>305</v>
      </c>
      <c r="C165" s="67" t="s">
        <v>2140</v>
      </c>
      <c r="D165" s="68">
        <v>3</v>
      </c>
      <c r="E165" s="69" t="s">
        <v>136</v>
      </c>
      <c r="F165" s="70">
        <v>6</v>
      </c>
      <c r="G165" s="67"/>
      <c r="H165" s="71"/>
      <c r="I165" s="72"/>
      <c r="J165" s="72"/>
      <c r="K165" s="35" t="s">
        <v>65</v>
      </c>
      <c r="L165" s="80">
        <v>165</v>
      </c>
      <c r="M165" s="80"/>
      <c r="N165" s="74"/>
      <c r="O165" s="82" t="s">
        <v>211</v>
      </c>
      <c r="P165" s="84">
        <v>44725.587905092594</v>
      </c>
      <c r="Q165" s="82" t="s">
        <v>423</v>
      </c>
      <c r="R165" s="82"/>
      <c r="S165" s="82"/>
      <c r="T165" s="82"/>
      <c r="U165" s="82"/>
      <c r="V165" s="85" t="str">
        <f>HYPERLINK("https://pbs.twimg.com/profile_images/825717962481029123/h6cXfTnb_normal.jpg")</f>
        <v>https://pbs.twimg.com/profile_images/825717962481029123/h6cXfTnb_normal.jpg</v>
      </c>
      <c r="W165" s="84">
        <v>44725.587905092594</v>
      </c>
      <c r="X165" s="89">
        <v>44725</v>
      </c>
      <c r="Y165" s="87" t="s">
        <v>649</v>
      </c>
      <c r="Z165" s="85" t="str">
        <f>HYPERLINK("https://twitter.com/chombotofficial/status/1536349315576258567")</f>
        <v>https://twitter.com/chombotofficial/status/1536349315576258567</v>
      </c>
      <c r="AA165" s="82"/>
      <c r="AB165" s="82"/>
      <c r="AC165" s="87" t="s">
        <v>842</v>
      </c>
      <c r="AD165" s="82"/>
      <c r="AE165" s="82" t="b">
        <v>0</v>
      </c>
      <c r="AF165" s="82">
        <v>0</v>
      </c>
      <c r="AG165" s="87" t="s">
        <v>957</v>
      </c>
      <c r="AH165" s="82" t="b">
        <v>0</v>
      </c>
      <c r="AI165" s="82" t="s">
        <v>973</v>
      </c>
      <c r="AJ165" s="82"/>
      <c r="AK165" s="87" t="s">
        <v>957</v>
      </c>
      <c r="AL165" s="82" t="b">
        <v>0</v>
      </c>
      <c r="AM165" s="82">
        <v>0</v>
      </c>
      <c r="AN165" s="87" t="s">
        <v>957</v>
      </c>
      <c r="AO165" s="87" t="s">
        <v>305</v>
      </c>
      <c r="AP165" s="82" t="b">
        <v>0</v>
      </c>
      <c r="AQ165" s="87" t="s">
        <v>842</v>
      </c>
      <c r="AR165" s="82" t="s">
        <v>211</v>
      </c>
      <c r="AS165" s="82">
        <v>0</v>
      </c>
      <c r="AT165" s="82">
        <v>0</v>
      </c>
      <c r="AU165" s="82"/>
      <c r="AV165" s="82"/>
      <c r="AW165" s="82"/>
      <c r="AX165" s="82"/>
      <c r="AY165" s="82"/>
      <c r="AZ165" s="82"/>
      <c r="BA165" s="82"/>
      <c r="BB165" s="82"/>
      <c r="BC165">
        <v>142</v>
      </c>
      <c r="BD165" s="81" t="str">
        <f>REPLACE(INDEX(GroupVertices[Group],MATCH(Edges[[#This Row],[Vertex 1]],GroupVertices[Vertex],0)),1,1,"")</f>
        <v>2</v>
      </c>
      <c r="BE165" s="81" t="str">
        <f>REPLACE(INDEX(GroupVertices[Group],MATCH(Edges[[#This Row],[Vertex 2]],GroupVertices[Vertex],0)),1,1,"")</f>
        <v>2</v>
      </c>
      <c r="BF165" s="49">
        <v>0</v>
      </c>
      <c r="BG165" s="50">
        <v>0</v>
      </c>
      <c r="BH165" s="49">
        <v>0</v>
      </c>
      <c r="BI165" s="50">
        <v>0</v>
      </c>
      <c r="BJ165" s="49">
        <v>0</v>
      </c>
      <c r="BK165" s="50">
        <v>0</v>
      </c>
      <c r="BL165" s="49">
        <v>9</v>
      </c>
      <c r="BM165" s="50">
        <v>100</v>
      </c>
      <c r="BN165" s="49">
        <v>9</v>
      </c>
    </row>
    <row r="166" spans="1:66" ht="15">
      <c r="A166" s="66" t="s">
        <v>305</v>
      </c>
      <c r="B166" s="66" t="s">
        <v>305</v>
      </c>
      <c r="C166" s="67" t="s">
        <v>2140</v>
      </c>
      <c r="D166" s="68">
        <v>3</v>
      </c>
      <c r="E166" s="69" t="s">
        <v>136</v>
      </c>
      <c r="F166" s="70">
        <v>6</v>
      </c>
      <c r="G166" s="67"/>
      <c r="H166" s="71"/>
      <c r="I166" s="72"/>
      <c r="J166" s="72"/>
      <c r="K166" s="35" t="s">
        <v>65</v>
      </c>
      <c r="L166" s="80">
        <v>166</v>
      </c>
      <c r="M166" s="80"/>
      <c r="N166" s="74"/>
      <c r="O166" s="82" t="s">
        <v>211</v>
      </c>
      <c r="P166" s="84">
        <v>44725.775405092594</v>
      </c>
      <c r="Q166" s="82" t="s">
        <v>424</v>
      </c>
      <c r="R166" s="82"/>
      <c r="S166" s="82"/>
      <c r="T166" s="82"/>
      <c r="U166" s="82"/>
      <c r="V166" s="85" t="str">
        <f>HYPERLINK("https://pbs.twimg.com/profile_images/825717962481029123/h6cXfTnb_normal.jpg")</f>
        <v>https://pbs.twimg.com/profile_images/825717962481029123/h6cXfTnb_normal.jpg</v>
      </c>
      <c r="W166" s="84">
        <v>44725.775405092594</v>
      </c>
      <c r="X166" s="89">
        <v>44725</v>
      </c>
      <c r="Y166" s="87" t="s">
        <v>650</v>
      </c>
      <c r="Z166" s="85" t="str">
        <f>HYPERLINK("https://twitter.com/chombotofficial/status/1536417261740761091")</f>
        <v>https://twitter.com/chombotofficial/status/1536417261740761091</v>
      </c>
      <c r="AA166" s="82"/>
      <c r="AB166" s="82"/>
      <c r="AC166" s="87" t="s">
        <v>843</v>
      </c>
      <c r="AD166" s="82"/>
      <c r="AE166" s="82" t="b">
        <v>0</v>
      </c>
      <c r="AF166" s="82">
        <v>0</v>
      </c>
      <c r="AG166" s="87" t="s">
        <v>957</v>
      </c>
      <c r="AH166" s="82" t="b">
        <v>0</v>
      </c>
      <c r="AI166" s="82" t="s">
        <v>973</v>
      </c>
      <c r="AJ166" s="82"/>
      <c r="AK166" s="87" t="s">
        <v>957</v>
      </c>
      <c r="AL166" s="82" t="b">
        <v>0</v>
      </c>
      <c r="AM166" s="82">
        <v>0</v>
      </c>
      <c r="AN166" s="87" t="s">
        <v>957</v>
      </c>
      <c r="AO166" s="87" t="s">
        <v>305</v>
      </c>
      <c r="AP166" s="82" t="b">
        <v>0</v>
      </c>
      <c r="AQ166" s="87" t="s">
        <v>843</v>
      </c>
      <c r="AR166" s="82" t="s">
        <v>211</v>
      </c>
      <c r="AS166" s="82">
        <v>0</v>
      </c>
      <c r="AT166" s="82">
        <v>0</v>
      </c>
      <c r="AU166" s="82"/>
      <c r="AV166" s="82"/>
      <c r="AW166" s="82"/>
      <c r="AX166" s="82"/>
      <c r="AY166" s="82"/>
      <c r="AZ166" s="82"/>
      <c r="BA166" s="82"/>
      <c r="BB166" s="82"/>
      <c r="BC166">
        <v>142</v>
      </c>
      <c r="BD166" s="81" t="str">
        <f>REPLACE(INDEX(GroupVertices[Group],MATCH(Edges[[#This Row],[Vertex 1]],GroupVertices[Vertex],0)),1,1,"")</f>
        <v>2</v>
      </c>
      <c r="BE166" s="81" t="str">
        <f>REPLACE(INDEX(GroupVertices[Group],MATCH(Edges[[#This Row],[Vertex 2]],GroupVertices[Vertex],0)),1,1,"")</f>
        <v>2</v>
      </c>
      <c r="BF166" s="49">
        <v>0</v>
      </c>
      <c r="BG166" s="50">
        <v>0</v>
      </c>
      <c r="BH166" s="49">
        <v>2</v>
      </c>
      <c r="BI166" s="50">
        <v>16.666666666666668</v>
      </c>
      <c r="BJ166" s="49">
        <v>0</v>
      </c>
      <c r="BK166" s="50">
        <v>0</v>
      </c>
      <c r="BL166" s="49">
        <v>10</v>
      </c>
      <c r="BM166" s="50">
        <v>83.33333333333333</v>
      </c>
      <c r="BN166" s="49">
        <v>12</v>
      </c>
    </row>
    <row r="167" spans="1:66" ht="15">
      <c r="A167" s="66" t="s">
        <v>305</v>
      </c>
      <c r="B167" s="66" t="s">
        <v>305</v>
      </c>
      <c r="C167" s="67" t="s">
        <v>2140</v>
      </c>
      <c r="D167" s="68">
        <v>3</v>
      </c>
      <c r="E167" s="69" t="s">
        <v>136</v>
      </c>
      <c r="F167" s="70">
        <v>6</v>
      </c>
      <c r="G167" s="67"/>
      <c r="H167" s="71"/>
      <c r="I167" s="72"/>
      <c r="J167" s="72"/>
      <c r="K167" s="35" t="s">
        <v>65</v>
      </c>
      <c r="L167" s="80">
        <v>167</v>
      </c>
      <c r="M167" s="80"/>
      <c r="N167" s="74"/>
      <c r="O167" s="82" t="s">
        <v>211</v>
      </c>
      <c r="P167" s="84">
        <v>44725.869155092594</v>
      </c>
      <c r="Q167" s="82" t="s">
        <v>425</v>
      </c>
      <c r="R167" s="82"/>
      <c r="S167" s="82"/>
      <c r="T167" s="82"/>
      <c r="U167" s="82"/>
      <c r="V167" s="85" t="str">
        <f>HYPERLINK("https://pbs.twimg.com/profile_images/825717962481029123/h6cXfTnb_normal.jpg")</f>
        <v>https://pbs.twimg.com/profile_images/825717962481029123/h6cXfTnb_normal.jpg</v>
      </c>
      <c r="W167" s="84">
        <v>44725.869155092594</v>
      </c>
      <c r="X167" s="89">
        <v>44725</v>
      </c>
      <c r="Y167" s="87" t="s">
        <v>651</v>
      </c>
      <c r="Z167" s="85" t="str">
        <f>HYPERLINK("https://twitter.com/chombotofficial/status/1536451238119755776")</f>
        <v>https://twitter.com/chombotofficial/status/1536451238119755776</v>
      </c>
      <c r="AA167" s="82"/>
      <c r="AB167" s="82"/>
      <c r="AC167" s="87" t="s">
        <v>844</v>
      </c>
      <c r="AD167" s="82"/>
      <c r="AE167" s="82" t="b">
        <v>0</v>
      </c>
      <c r="AF167" s="82">
        <v>0</v>
      </c>
      <c r="AG167" s="87" t="s">
        <v>957</v>
      </c>
      <c r="AH167" s="82" t="b">
        <v>0</v>
      </c>
      <c r="AI167" s="82" t="s">
        <v>973</v>
      </c>
      <c r="AJ167" s="82"/>
      <c r="AK167" s="87" t="s">
        <v>957</v>
      </c>
      <c r="AL167" s="82" t="b">
        <v>0</v>
      </c>
      <c r="AM167" s="82">
        <v>0</v>
      </c>
      <c r="AN167" s="87" t="s">
        <v>957</v>
      </c>
      <c r="AO167" s="87" t="s">
        <v>305</v>
      </c>
      <c r="AP167" s="82" t="b">
        <v>0</v>
      </c>
      <c r="AQ167" s="87" t="s">
        <v>844</v>
      </c>
      <c r="AR167" s="82" t="s">
        <v>211</v>
      </c>
      <c r="AS167" s="82">
        <v>0</v>
      </c>
      <c r="AT167" s="82">
        <v>0</v>
      </c>
      <c r="AU167" s="82"/>
      <c r="AV167" s="82"/>
      <c r="AW167" s="82"/>
      <c r="AX167" s="82"/>
      <c r="AY167" s="82"/>
      <c r="AZ167" s="82"/>
      <c r="BA167" s="82"/>
      <c r="BB167" s="82"/>
      <c r="BC167">
        <v>142</v>
      </c>
      <c r="BD167" s="81" t="str">
        <f>REPLACE(INDEX(GroupVertices[Group],MATCH(Edges[[#This Row],[Vertex 1]],GroupVertices[Vertex],0)),1,1,"")</f>
        <v>2</v>
      </c>
      <c r="BE167" s="81" t="str">
        <f>REPLACE(INDEX(GroupVertices[Group],MATCH(Edges[[#This Row],[Vertex 2]],GroupVertices[Vertex],0)),1,1,"")</f>
        <v>2</v>
      </c>
      <c r="BF167" s="49">
        <v>0</v>
      </c>
      <c r="BG167" s="50">
        <v>0</v>
      </c>
      <c r="BH167" s="49">
        <v>2</v>
      </c>
      <c r="BI167" s="50">
        <v>8.695652173913043</v>
      </c>
      <c r="BJ167" s="49">
        <v>0</v>
      </c>
      <c r="BK167" s="50">
        <v>0</v>
      </c>
      <c r="BL167" s="49">
        <v>21</v>
      </c>
      <c r="BM167" s="50">
        <v>91.30434782608695</v>
      </c>
      <c r="BN167" s="49">
        <v>23</v>
      </c>
    </row>
    <row r="168" spans="1:66" ht="15">
      <c r="A168" s="66" t="s">
        <v>305</v>
      </c>
      <c r="B168" s="66" t="s">
        <v>305</v>
      </c>
      <c r="C168" s="67" t="s">
        <v>2140</v>
      </c>
      <c r="D168" s="68">
        <v>3</v>
      </c>
      <c r="E168" s="69" t="s">
        <v>136</v>
      </c>
      <c r="F168" s="70">
        <v>6</v>
      </c>
      <c r="G168" s="67"/>
      <c r="H168" s="71"/>
      <c r="I168" s="72"/>
      <c r="J168" s="72"/>
      <c r="K168" s="35" t="s">
        <v>65</v>
      </c>
      <c r="L168" s="80">
        <v>168</v>
      </c>
      <c r="M168" s="80"/>
      <c r="N168" s="74"/>
      <c r="O168" s="82" t="s">
        <v>211</v>
      </c>
      <c r="P168" s="84">
        <v>44725.87957175926</v>
      </c>
      <c r="Q168" s="82" t="s">
        <v>426</v>
      </c>
      <c r="R168" s="82"/>
      <c r="S168" s="82"/>
      <c r="T168" s="82"/>
      <c r="U168" s="82"/>
      <c r="V168" s="85" t="str">
        <f>HYPERLINK("https://pbs.twimg.com/profile_images/825717962481029123/h6cXfTnb_normal.jpg")</f>
        <v>https://pbs.twimg.com/profile_images/825717962481029123/h6cXfTnb_normal.jpg</v>
      </c>
      <c r="W168" s="84">
        <v>44725.87957175926</v>
      </c>
      <c r="X168" s="89">
        <v>44725</v>
      </c>
      <c r="Y168" s="87" t="s">
        <v>652</v>
      </c>
      <c r="Z168" s="85" t="str">
        <f>HYPERLINK("https://twitter.com/chombotofficial/status/1536455010459992067")</f>
        <v>https://twitter.com/chombotofficial/status/1536455010459992067</v>
      </c>
      <c r="AA168" s="82"/>
      <c r="AB168" s="82"/>
      <c r="AC168" s="87" t="s">
        <v>845</v>
      </c>
      <c r="AD168" s="82"/>
      <c r="AE168" s="82" t="b">
        <v>0</v>
      </c>
      <c r="AF168" s="82">
        <v>0</v>
      </c>
      <c r="AG168" s="87" t="s">
        <v>957</v>
      </c>
      <c r="AH168" s="82" t="b">
        <v>0</v>
      </c>
      <c r="AI168" s="82" t="s">
        <v>973</v>
      </c>
      <c r="AJ168" s="82"/>
      <c r="AK168" s="87" t="s">
        <v>957</v>
      </c>
      <c r="AL168" s="82" t="b">
        <v>0</v>
      </c>
      <c r="AM168" s="82">
        <v>0</v>
      </c>
      <c r="AN168" s="87" t="s">
        <v>957</v>
      </c>
      <c r="AO168" s="87" t="s">
        <v>305</v>
      </c>
      <c r="AP168" s="82" t="b">
        <v>0</v>
      </c>
      <c r="AQ168" s="87" t="s">
        <v>845</v>
      </c>
      <c r="AR168" s="82" t="s">
        <v>211</v>
      </c>
      <c r="AS168" s="82">
        <v>0</v>
      </c>
      <c r="AT168" s="82">
        <v>0</v>
      </c>
      <c r="AU168" s="82"/>
      <c r="AV168" s="82"/>
      <c r="AW168" s="82"/>
      <c r="AX168" s="82"/>
      <c r="AY168" s="82"/>
      <c r="AZ168" s="82"/>
      <c r="BA168" s="82"/>
      <c r="BB168" s="82"/>
      <c r="BC168">
        <v>142</v>
      </c>
      <c r="BD168" s="81" t="str">
        <f>REPLACE(INDEX(GroupVertices[Group],MATCH(Edges[[#This Row],[Vertex 1]],GroupVertices[Vertex],0)),1,1,"")</f>
        <v>2</v>
      </c>
      <c r="BE168" s="81" t="str">
        <f>REPLACE(INDEX(GroupVertices[Group],MATCH(Edges[[#This Row],[Vertex 2]],GroupVertices[Vertex],0)),1,1,"")</f>
        <v>2</v>
      </c>
      <c r="BF168" s="49">
        <v>0</v>
      </c>
      <c r="BG168" s="50">
        <v>0</v>
      </c>
      <c r="BH168" s="49">
        <v>2</v>
      </c>
      <c r="BI168" s="50">
        <v>9.090909090909092</v>
      </c>
      <c r="BJ168" s="49">
        <v>0</v>
      </c>
      <c r="BK168" s="50">
        <v>0</v>
      </c>
      <c r="BL168" s="49">
        <v>20</v>
      </c>
      <c r="BM168" s="50">
        <v>90.9090909090909</v>
      </c>
      <c r="BN168" s="49">
        <v>22</v>
      </c>
    </row>
    <row r="169" spans="1:66" ht="15">
      <c r="A169" s="66" t="s">
        <v>305</v>
      </c>
      <c r="B169" s="66" t="s">
        <v>305</v>
      </c>
      <c r="C169" s="67" t="s">
        <v>2140</v>
      </c>
      <c r="D169" s="68">
        <v>3</v>
      </c>
      <c r="E169" s="69" t="s">
        <v>136</v>
      </c>
      <c r="F169" s="70">
        <v>6</v>
      </c>
      <c r="G169" s="67"/>
      <c r="H169" s="71"/>
      <c r="I169" s="72"/>
      <c r="J169" s="72"/>
      <c r="K169" s="35" t="s">
        <v>65</v>
      </c>
      <c r="L169" s="80">
        <v>169</v>
      </c>
      <c r="M169" s="80"/>
      <c r="N169" s="74"/>
      <c r="O169" s="82" t="s">
        <v>211</v>
      </c>
      <c r="P169" s="84">
        <v>44725.89</v>
      </c>
      <c r="Q169" s="82" t="s">
        <v>427</v>
      </c>
      <c r="R169" s="82"/>
      <c r="S169" s="82"/>
      <c r="T169" s="82"/>
      <c r="U169" s="82"/>
      <c r="V169" s="85" t="str">
        <f>HYPERLINK("https://pbs.twimg.com/profile_images/825717962481029123/h6cXfTnb_normal.jpg")</f>
        <v>https://pbs.twimg.com/profile_images/825717962481029123/h6cXfTnb_normal.jpg</v>
      </c>
      <c r="W169" s="84">
        <v>44725.89</v>
      </c>
      <c r="X169" s="89">
        <v>44725</v>
      </c>
      <c r="Y169" s="87" t="s">
        <v>653</v>
      </c>
      <c r="Z169" s="85" t="str">
        <f>HYPERLINK("https://twitter.com/chombotofficial/status/1536458791214059521")</f>
        <v>https://twitter.com/chombotofficial/status/1536458791214059521</v>
      </c>
      <c r="AA169" s="82"/>
      <c r="AB169" s="82"/>
      <c r="AC169" s="87" t="s">
        <v>846</v>
      </c>
      <c r="AD169" s="82"/>
      <c r="AE169" s="82" t="b">
        <v>0</v>
      </c>
      <c r="AF169" s="82">
        <v>0</v>
      </c>
      <c r="AG169" s="87" t="s">
        <v>957</v>
      </c>
      <c r="AH169" s="82" t="b">
        <v>0</v>
      </c>
      <c r="AI169" s="82" t="s">
        <v>973</v>
      </c>
      <c r="AJ169" s="82"/>
      <c r="AK169" s="87" t="s">
        <v>957</v>
      </c>
      <c r="AL169" s="82" t="b">
        <v>0</v>
      </c>
      <c r="AM169" s="82">
        <v>0</v>
      </c>
      <c r="AN169" s="87" t="s">
        <v>957</v>
      </c>
      <c r="AO169" s="87" t="s">
        <v>305</v>
      </c>
      <c r="AP169" s="82" t="b">
        <v>0</v>
      </c>
      <c r="AQ169" s="87" t="s">
        <v>846</v>
      </c>
      <c r="AR169" s="82" t="s">
        <v>211</v>
      </c>
      <c r="AS169" s="82">
        <v>0</v>
      </c>
      <c r="AT169" s="82">
        <v>0</v>
      </c>
      <c r="AU169" s="82"/>
      <c r="AV169" s="82"/>
      <c r="AW169" s="82"/>
      <c r="AX169" s="82"/>
      <c r="AY169" s="82"/>
      <c r="AZ169" s="82"/>
      <c r="BA169" s="82"/>
      <c r="BB169" s="82"/>
      <c r="BC169">
        <v>142</v>
      </c>
      <c r="BD169" s="81" t="str">
        <f>REPLACE(INDEX(GroupVertices[Group],MATCH(Edges[[#This Row],[Vertex 1]],GroupVertices[Vertex],0)),1,1,"")</f>
        <v>2</v>
      </c>
      <c r="BE169" s="81" t="str">
        <f>REPLACE(INDEX(GroupVertices[Group],MATCH(Edges[[#This Row],[Vertex 2]],GroupVertices[Vertex],0)),1,1,"")</f>
        <v>2</v>
      </c>
      <c r="BF169" s="49">
        <v>0</v>
      </c>
      <c r="BG169" s="50">
        <v>0</v>
      </c>
      <c r="BH169" s="49">
        <v>2</v>
      </c>
      <c r="BI169" s="50">
        <v>8.333333333333334</v>
      </c>
      <c r="BJ169" s="49">
        <v>0</v>
      </c>
      <c r="BK169" s="50">
        <v>0</v>
      </c>
      <c r="BL169" s="49">
        <v>22</v>
      </c>
      <c r="BM169" s="50">
        <v>91.66666666666667</v>
      </c>
      <c r="BN169" s="49">
        <v>24</v>
      </c>
    </row>
    <row r="170" spans="1:66" ht="15">
      <c r="A170" s="66" t="s">
        <v>305</v>
      </c>
      <c r="B170" s="66" t="s">
        <v>305</v>
      </c>
      <c r="C170" s="67" t="s">
        <v>2140</v>
      </c>
      <c r="D170" s="68">
        <v>3</v>
      </c>
      <c r="E170" s="69" t="s">
        <v>136</v>
      </c>
      <c r="F170" s="70">
        <v>6</v>
      </c>
      <c r="G170" s="67"/>
      <c r="H170" s="71"/>
      <c r="I170" s="72"/>
      <c r="J170" s="72"/>
      <c r="K170" s="35" t="s">
        <v>65</v>
      </c>
      <c r="L170" s="80">
        <v>170</v>
      </c>
      <c r="M170" s="80"/>
      <c r="N170" s="74"/>
      <c r="O170" s="82" t="s">
        <v>211</v>
      </c>
      <c r="P170" s="84">
        <v>44725.98721064815</v>
      </c>
      <c r="Q170" s="82" t="s">
        <v>428</v>
      </c>
      <c r="R170" s="82"/>
      <c r="S170" s="82"/>
      <c r="T170" s="82"/>
      <c r="U170" s="82"/>
      <c r="V170" s="85" t="str">
        <f>HYPERLINK("https://pbs.twimg.com/profile_images/825717962481029123/h6cXfTnb_normal.jpg")</f>
        <v>https://pbs.twimg.com/profile_images/825717962481029123/h6cXfTnb_normal.jpg</v>
      </c>
      <c r="W170" s="84">
        <v>44725.98721064815</v>
      </c>
      <c r="X170" s="89">
        <v>44725</v>
      </c>
      <c r="Y170" s="87" t="s">
        <v>654</v>
      </c>
      <c r="Z170" s="85" t="str">
        <f>HYPERLINK("https://twitter.com/chombotofficial/status/1536494018003075078")</f>
        <v>https://twitter.com/chombotofficial/status/1536494018003075078</v>
      </c>
      <c r="AA170" s="82"/>
      <c r="AB170" s="82"/>
      <c r="AC170" s="87" t="s">
        <v>847</v>
      </c>
      <c r="AD170" s="82"/>
      <c r="AE170" s="82" t="b">
        <v>0</v>
      </c>
      <c r="AF170" s="82">
        <v>0</v>
      </c>
      <c r="AG170" s="87" t="s">
        <v>957</v>
      </c>
      <c r="AH170" s="82" t="b">
        <v>0</v>
      </c>
      <c r="AI170" s="82" t="s">
        <v>973</v>
      </c>
      <c r="AJ170" s="82"/>
      <c r="AK170" s="87" t="s">
        <v>957</v>
      </c>
      <c r="AL170" s="82" t="b">
        <v>0</v>
      </c>
      <c r="AM170" s="82">
        <v>0</v>
      </c>
      <c r="AN170" s="87" t="s">
        <v>957</v>
      </c>
      <c r="AO170" s="87" t="s">
        <v>305</v>
      </c>
      <c r="AP170" s="82" t="b">
        <v>0</v>
      </c>
      <c r="AQ170" s="87" t="s">
        <v>847</v>
      </c>
      <c r="AR170" s="82" t="s">
        <v>211</v>
      </c>
      <c r="AS170" s="82">
        <v>0</v>
      </c>
      <c r="AT170" s="82">
        <v>0</v>
      </c>
      <c r="AU170" s="82"/>
      <c r="AV170" s="82"/>
      <c r="AW170" s="82"/>
      <c r="AX170" s="82"/>
      <c r="AY170" s="82"/>
      <c r="AZ170" s="82"/>
      <c r="BA170" s="82"/>
      <c r="BB170" s="82"/>
      <c r="BC170">
        <v>142</v>
      </c>
      <c r="BD170" s="81" t="str">
        <f>REPLACE(INDEX(GroupVertices[Group],MATCH(Edges[[#This Row],[Vertex 1]],GroupVertices[Vertex],0)),1,1,"")</f>
        <v>2</v>
      </c>
      <c r="BE170" s="81" t="str">
        <f>REPLACE(INDEX(GroupVertices[Group],MATCH(Edges[[#This Row],[Vertex 2]],GroupVertices[Vertex],0)),1,1,"")</f>
        <v>2</v>
      </c>
      <c r="BF170" s="49">
        <v>0</v>
      </c>
      <c r="BG170" s="50">
        <v>0</v>
      </c>
      <c r="BH170" s="49">
        <v>1</v>
      </c>
      <c r="BI170" s="50">
        <v>5.2631578947368425</v>
      </c>
      <c r="BJ170" s="49">
        <v>0</v>
      </c>
      <c r="BK170" s="50">
        <v>0</v>
      </c>
      <c r="BL170" s="49">
        <v>18</v>
      </c>
      <c r="BM170" s="50">
        <v>94.73684210526316</v>
      </c>
      <c r="BN170" s="49">
        <v>19</v>
      </c>
    </row>
    <row r="171" spans="1:66" ht="15">
      <c r="A171" s="66" t="s">
        <v>305</v>
      </c>
      <c r="B171" s="66" t="s">
        <v>305</v>
      </c>
      <c r="C171" s="67" t="s">
        <v>2140</v>
      </c>
      <c r="D171" s="68">
        <v>3</v>
      </c>
      <c r="E171" s="69" t="s">
        <v>136</v>
      </c>
      <c r="F171" s="70">
        <v>6</v>
      </c>
      <c r="G171" s="67"/>
      <c r="H171" s="71"/>
      <c r="I171" s="72"/>
      <c r="J171" s="72"/>
      <c r="K171" s="35" t="s">
        <v>65</v>
      </c>
      <c r="L171" s="80">
        <v>171</v>
      </c>
      <c r="M171" s="80"/>
      <c r="N171" s="74"/>
      <c r="O171" s="82" t="s">
        <v>211</v>
      </c>
      <c r="P171" s="84">
        <v>44726.150405092594</v>
      </c>
      <c r="Q171" s="82" t="s">
        <v>429</v>
      </c>
      <c r="R171" s="82"/>
      <c r="S171" s="82"/>
      <c r="T171" s="82"/>
      <c r="U171" s="82"/>
      <c r="V171" s="85" t="str">
        <f>HYPERLINK("https://pbs.twimg.com/profile_images/825717962481029123/h6cXfTnb_normal.jpg")</f>
        <v>https://pbs.twimg.com/profile_images/825717962481029123/h6cXfTnb_normal.jpg</v>
      </c>
      <c r="W171" s="84">
        <v>44726.150405092594</v>
      </c>
      <c r="X171" s="89">
        <v>44726</v>
      </c>
      <c r="Y171" s="87" t="s">
        <v>655</v>
      </c>
      <c r="Z171" s="85" t="str">
        <f>HYPERLINK("https://twitter.com/chombotofficial/status/1536553157123313666")</f>
        <v>https://twitter.com/chombotofficial/status/1536553157123313666</v>
      </c>
      <c r="AA171" s="82"/>
      <c r="AB171" s="82"/>
      <c r="AC171" s="87" t="s">
        <v>848</v>
      </c>
      <c r="AD171" s="82"/>
      <c r="AE171" s="82" t="b">
        <v>0</v>
      </c>
      <c r="AF171" s="82">
        <v>0</v>
      </c>
      <c r="AG171" s="87" t="s">
        <v>957</v>
      </c>
      <c r="AH171" s="82" t="b">
        <v>0</v>
      </c>
      <c r="AI171" s="82" t="s">
        <v>973</v>
      </c>
      <c r="AJ171" s="82"/>
      <c r="AK171" s="87" t="s">
        <v>957</v>
      </c>
      <c r="AL171" s="82" t="b">
        <v>0</v>
      </c>
      <c r="AM171" s="82">
        <v>0</v>
      </c>
      <c r="AN171" s="87" t="s">
        <v>957</v>
      </c>
      <c r="AO171" s="87" t="s">
        <v>305</v>
      </c>
      <c r="AP171" s="82" t="b">
        <v>0</v>
      </c>
      <c r="AQ171" s="87" t="s">
        <v>848</v>
      </c>
      <c r="AR171" s="82" t="s">
        <v>211</v>
      </c>
      <c r="AS171" s="82">
        <v>0</v>
      </c>
      <c r="AT171" s="82">
        <v>0</v>
      </c>
      <c r="AU171" s="82"/>
      <c r="AV171" s="82"/>
      <c r="AW171" s="82"/>
      <c r="AX171" s="82"/>
      <c r="AY171" s="82"/>
      <c r="AZ171" s="82"/>
      <c r="BA171" s="82"/>
      <c r="BB171" s="82"/>
      <c r="BC171">
        <v>142</v>
      </c>
      <c r="BD171" s="81" t="str">
        <f>REPLACE(INDEX(GroupVertices[Group],MATCH(Edges[[#This Row],[Vertex 1]],GroupVertices[Vertex],0)),1,1,"")</f>
        <v>2</v>
      </c>
      <c r="BE171" s="81" t="str">
        <f>REPLACE(INDEX(GroupVertices[Group],MATCH(Edges[[#This Row],[Vertex 2]],GroupVertices[Vertex],0)),1,1,"")</f>
        <v>2</v>
      </c>
      <c r="BF171" s="49">
        <v>0</v>
      </c>
      <c r="BG171" s="50">
        <v>0</v>
      </c>
      <c r="BH171" s="49">
        <v>0</v>
      </c>
      <c r="BI171" s="50">
        <v>0</v>
      </c>
      <c r="BJ171" s="49">
        <v>0</v>
      </c>
      <c r="BK171" s="50">
        <v>0</v>
      </c>
      <c r="BL171" s="49">
        <v>22</v>
      </c>
      <c r="BM171" s="50">
        <v>100</v>
      </c>
      <c r="BN171" s="49">
        <v>22</v>
      </c>
    </row>
    <row r="172" spans="1:66" ht="15">
      <c r="A172" s="66" t="s">
        <v>305</v>
      </c>
      <c r="B172" s="66" t="s">
        <v>305</v>
      </c>
      <c r="C172" s="67" t="s">
        <v>2140</v>
      </c>
      <c r="D172" s="68">
        <v>3</v>
      </c>
      <c r="E172" s="69" t="s">
        <v>136</v>
      </c>
      <c r="F172" s="70">
        <v>6</v>
      </c>
      <c r="G172" s="67"/>
      <c r="H172" s="71"/>
      <c r="I172" s="72"/>
      <c r="J172" s="72"/>
      <c r="K172" s="35" t="s">
        <v>65</v>
      </c>
      <c r="L172" s="80">
        <v>172</v>
      </c>
      <c r="M172" s="80"/>
      <c r="N172" s="74"/>
      <c r="O172" s="82" t="s">
        <v>211</v>
      </c>
      <c r="P172" s="84">
        <v>44726.20943287037</v>
      </c>
      <c r="Q172" s="82" t="s">
        <v>430</v>
      </c>
      <c r="R172" s="82"/>
      <c r="S172" s="82"/>
      <c r="T172" s="82"/>
      <c r="U172" s="82"/>
      <c r="V172" s="85" t="str">
        <f>HYPERLINK("https://pbs.twimg.com/profile_images/825717962481029123/h6cXfTnb_normal.jpg")</f>
        <v>https://pbs.twimg.com/profile_images/825717962481029123/h6cXfTnb_normal.jpg</v>
      </c>
      <c r="W172" s="84">
        <v>44726.20943287037</v>
      </c>
      <c r="X172" s="89">
        <v>44726</v>
      </c>
      <c r="Y172" s="87" t="s">
        <v>656</v>
      </c>
      <c r="Z172" s="85" t="str">
        <f>HYPERLINK("https://twitter.com/chombotofficial/status/1536574551714574336")</f>
        <v>https://twitter.com/chombotofficial/status/1536574551714574336</v>
      </c>
      <c r="AA172" s="82"/>
      <c r="AB172" s="82"/>
      <c r="AC172" s="87" t="s">
        <v>849</v>
      </c>
      <c r="AD172" s="82"/>
      <c r="AE172" s="82" t="b">
        <v>0</v>
      </c>
      <c r="AF172" s="82">
        <v>0</v>
      </c>
      <c r="AG172" s="87" t="s">
        <v>957</v>
      </c>
      <c r="AH172" s="82" t="b">
        <v>0</v>
      </c>
      <c r="AI172" s="82" t="s">
        <v>973</v>
      </c>
      <c r="AJ172" s="82"/>
      <c r="AK172" s="87" t="s">
        <v>957</v>
      </c>
      <c r="AL172" s="82" t="b">
        <v>0</v>
      </c>
      <c r="AM172" s="82">
        <v>0</v>
      </c>
      <c r="AN172" s="87" t="s">
        <v>957</v>
      </c>
      <c r="AO172" s="87" t="s">
        <v>305</v>
      </c>
      <c r="AP172" s="82" t="b">
        <v>0</v>
      </c>
      <c r="AQ172" s="87" t="s">
        <v>849</v>
      </c>
      <c r="AR172" s="82" t="s">
        <v>211</v>
      </c>
      <c r="AS172" s="82">
        <v>0</v>
      </c>
      <c r="AT172" s="82">
        <v>0</v>
      </c>
      <c r="AU172" s="82"/>
      <c r="AV172" s="82"/>
      <c r="AW172" s="82"/>
      <c r="AX172" s="82"/>
      <c r="AY172" s="82"/>
      <c r="AZ172" s="82"/>
      <c r="BA172" s="82"/>
      <c r="BB172" s="82"/>
      <c r="BC172">
        <v>142</v>
      </c>
      <c r="BD172" s="81" t="str">
        <f>REPLACE(INDEX(GroupVertices[Group],MATCH(Edges[[#This Row],[Vertex 1]],GroupVertices[Vertex],0)),1,1,"")</f>
        <v>2</v>
      </c>
      <c r="BE172" s="81" t="str">
        <f>REPLACE(INDEX(GroupVertices[Group],MATCH(Edges[[#This Row],[Vertex 2]],GroupVertices[Vertex],0)),1,1,"")</f>
        <v>2</v>
      </c>
      <c r="BF172" s="49">
        <v>0</v>
      </c>
      <c r="BG172" s="50">
        <v>0</v>
      </c>
      <c r="BH172" s="49">
        <v>1</v>
      </c>
      <c r="BI172" s="50">
        <v>5.555555555555555</v>
      </c>
      <c r="BJ172" s="49">
        <v>0</v>
      </c>
      <c r="BK172" s="50">
        <v>0</v>
      </c>
      <c r="BL172" s="49">
        <v>17</v>
      </c>
      <c r="BM172" s="50">
        <v>94.44444444444444</v>
      </c>
      <c r="BN172" s="49">
        <v>18</v>
      </c>
    </row>
    <row r="173" spans="1:66" ht="15">
      <c r="A173" s="66" t="s">
        <v>305</v>
      </c>
      <c r="B173" s="66" t="s">
        <v>305</v>
      </c>
      <c r="C173" s="67" t="s">
        <v>2140</v>
      </c>
      <c r="D173" s="68">
        <v>3</v>
      </c>
      <c r="E173" s="69" t="s">
        <v>136</v>
      </c>
      <c r="F173" s="70">
        <v>6</v>
      </c>
      <c r="G173" s="67"/>
      <c r="H173" s="71"/>
      <c r="I173" s="72"/>
      <c r="J173" s="72"/>
      <c r="K173" s="35" t="s">
        <v>65</v>
      </c>
      <c r="L173" s="80">
        <v>173</v>
      </c>
      <c r="M173" s="80"/>
      <c r="N173" s="74"/>
      <c r="O173" s="82" t="s">
        <v>211</v>
      </c>
      <c r="P173" s="84">
        <v>44726.21637731481</v>
      </c>
      <c r="Q173" s="82" t="s">
        <v>431</v>
      </c>
      <c r="R173" s="82"/>
      <c r="S173" s="82"/>
      <c r="T173" s="82"/>
      <c r="U173" s="82"/>
      <c r="V173" s="85" t="str">
        <f>HYPERLINK("https://pbs.twimg.com/profile_images/825717962481029123/h6cXfTnb_normal.jpg")</f>
        <v>https://pbs.twimg.com/profile_images/825717962481029123/h6cXfTnb_normal.jpg</v>
      </c>
      <c r="W173" s="84">
        <v>44726.21637731481</v>
      </c>
      <c r="X173" s="89">
        <v>44726</v>
      </c>
      <c r="Y173" s="87" t="s">
        <v>657</v>
      </c>
      <c r="Z173" s="85" t="str">
        <f>HYPERLINK("https://twitter.com/chombotofficial/status/1536577065218150403")</f>
        <v>https://twitter.com/chombotofficial/status/1536577065218150403</v>
      </c>
      <c r="AA173" s="82"/>
      <c r="AB173" s="82"/>
      <c r="AC173" s="87" t="s">
        <v>850</v>
      </c>
      <c r="AD173" s="82"/>
      <c r="AE173" s="82" t="b">
        <v>0</v>
      </c>
      <c r="AF173" s="82">
        <v>0</v>
      </c>
      <c r="AG173" s="87" t="s">
        <v>957</v>
      </c>
      <c r="AH173" s="82" t="b">
        <v>0</v>
      </c>
      <c r="AI173" s="82" t="s">
        <v>973</v>
      </c>
      <c r="AJ173" s="82"/>
      <c r="AK173" s="87" t="s">
        <v>957</v>
      </c>
      <c r="AL173" s="82" t="b">
        <v>0</v>
      </c>
      <c r="AM173" s="82">
        <v>0</v>
      </c>
      <c r="AN173" s="87" t="s">
        <v>957</v>
      </c>
      <c r="AO173" s="87" t="s">
        <v>305</v>
      </c>
      <c r="AP173" s="82" t="b">
        <v>0</v>
      </c>
      <c r="AQ173" s="87" t="s">
        <v>850</v>
      </c>
      <c r="AR173" s="82" t="s">
        <v>211</v>
      </c>
      <c r="AS173" s="82">
        <v>0</v>
      </c>
      <c r="AT173" s="82">
        <v>0</v>
      </c>
      <c r="AU173" s="82"/>
      <c r="AV173" s="82"/>
      <c r="AW173" s="82"/>
      <c r="AX173" s="82"/>
      <c r="AY173" s="82"/>
      <c r="AZ173" s="82"/>
      <c r="BA173" s="82"/>
      <c r="BB173" s="82"/>
      <c r="BC173">
        <v>142</v>
      </c>
      <c r="BD173" s="81" t="str">
        <f>REPLACE(INDEX(GroupVertices[Group],MATCH(Edges[[#This Row],[Vertex 1]],GroupVertices[Vertex],0)),1,1,"")</f>
        <v>2</v>
      </c>
      <c r="BE173" s="81" t="str">
        <f>REPLACE(INDEX(GroupVertices[Group],MATCH(Edges[[#This Row],[Vertex 2]],GroupVertices[Vertex],0)),1,1,"")</f>
        <v>2</v>
      </c>
      <c r="BF173" s="49">
        <v>0</v>
      </c>
      <c r="BG173" s="50">
        <v>0</v>
      </c>
      <c r="BH173" s="49">
        <v>0</v>
      </c>
      <c r="BI173" s="50">
        <v>0</v>
      </c>
      <c r="BJ173" s="49">
        <v>0</v>
      </c>
      <c r="BK173" s="50">
        <v>0</v>
      </c>
      <c r="BL173" s="49">
        <v>23</v>
      </c>
      <c r="BM173" s="50">
        <v>100</v>
      </c>
      <c r="BN173" s="49">
        <v>23</v>
      </c>
    </row>
    <row r="174" spans="1:66" ht="15">
      <c r="A174" s="66" t="s">
        <v>305</v>
      </c>
      <c r="B174" s="66" t="s">
        <v>305</v>
      </c>
      <c r="C174" s="67" t="s">
        <v>2140</v>
      </c>
      <c r="D174" s="68">
        <v>3</v>
      </c>
      <c r="E174" s="69" t="s">
        <v>136</v>
      </c>
      <c r="F174" s="70">
        <v>6</v>
      </c>
      <c r="G174" s="67"/>
      <c r="H174" s="71"/>
      <c r="I174" s="72"/>
      <c r="J174" s="72"/>
      <c r="K174" s="35" t="s">
        <v>65</v>
      </c>
      <c r="L174" s="80">
        <v>174</v>
      </c>
      <c r="M174" s="80"/>
      <c r="N174" s="74"/>
      <c r="O174" s="82" t="s">
        <v>211</v>
      </c>
      <c r="P174" s="84">
        <v>44726.355266203704</v>
      </c>
      <c r="Q174" s="82" t="s">
        <v>432</v>
      </c>
      <c r="R174" s="82"/>
      <c r="S174" s="82"/>
      <c r="T174" s="82"/>
      <c r="U174" s="82"/>
      <c r="V174" s="85" t="str">
        <f>HYPERLINK("https://pbs.twimg.com/profile_images/825717962481029123/h6cXfTnb_normal.jpg")</f>
        <v>https://pbs.twimg.com/profile_images/825717962481029123/h6cXfTnb_normal.jpg</v>
      </c>
      <c r="W174" s="84">
        <v>44726.355266203704</v>
      </c>
      <c r="X174" s="89">
        <v>44726</v>
      </c>
      <c r="Y174" s="87" t="s">
        <v>658</v>
      </c>
      <c r="Z174" s="85" t="str">
        <f>HYPERLINK("https://twitter.com/chombotofficial/status/1536627397046456320")</f>
        <v>https://twitter.com/chombotofficial/status/1536627397046456320</v>
      </c>
      <c r="AA174" s="82"/>
      <c r="AB174" s="82"/>
      <c r="AC174" s="87" t="s">
        <v>851</v>
      </c>
      <c r="AD174" s="82"/>
      <c r="AE174" s="82" t="b">
        <v>0</v>
      </c>
      <c r="AF174" s="82">
        <v>0</v>
      </c>
      <c r="AG174" s="87" t="s">
        <v>957</v>
      </c>
      <c r="AH174" s="82" t="b">
        <v>0</v>
      </c>
      <c r="AI174" s="82" t="s">
        <v>973</v>
      </c>
      <c r="AJ174" s="82"/>
      <c r="AK174" s="87" t="s">
        <v>957</v>
      </c>
      <c r="AL174" s="82" t="b">
        <v>0</v>
      </c>
      <c r="AM174" s="82">
        <v>0</v>
      </c>
      <c r="AN174" s="87" t="s">
        <v>957</v>
      </c>
      <c r="AO174" s="87" t="s">
        <v>305</v>
      </c>
      <c r="AP174" s="82" t="b">
        <v>0</v>
      </c>
      <c r="AQ174" s="87" t="s">
        <v>851</v>
      </c>
      <c r="AR174" s="82" t="s">
        <v>211</v>
      </c>
      <c r="AS174" s="82">
        <v>0</v>
      </c>
      <c r="AT174" s="82">
        <v>0</v>
      </c>
      <c r="AU174" s="82"/>
      <c r="AV174" s="82"/>
      <c r="AW174" s="82"/>
      <c r="AX174" s="82"/>
      <c r="AY174" s="82"/>
      <c r="AZ174" s="82"/>
      <c r="BA174" s="82"/>
      <c r="BB174" s="82"/>
      <c r="BC174">
        <v>142</v>
      </c>
      <c r="BD174" s="81" t="str">
        <f>REPLACE(INDEX(GroupVertices[Group],MATCH(Edges[[#This Row],[Vertex 1]],GroupVertices[Vertex],0)),1,1,"")</f>
        <v>2</v>
      </c>
      <c r="BE174" s="81" t="str">
        <f>REPLACE(INDEX(GroupVertices[Group],MATCH(Edges[[#This Row],[Vertex 2]],GroupVertices[Vertex],0)),1,1,"")</f>
        <v>2</v>
      </c>
      <c r="BF174" s="49">
        <v>0</v>
      </c>
      <c r="BG174" s="50">
        <v>0</v>
      </c>
      <c r="BH174" s="49">
        <v>1</v>
      </c>
      <c r="BI174" s="50">
        <v>7.142857142857143</v>
      </c>
      <c r="BJ174" s="49">
        <v>0</v>
      </c>
      <c r="BK174" s="50">
        <v>0</v>
      </c>
      <c r="BL174" s="49">
        <v>13</v>
      </c>
      <c r="BM174" s="50">
        <v>92.85714285714286</v>
      </c>
      <c r="BN174" s="49">
        <v>14</v>
      </c>
    </row>
    <row r="175" spans="1:66" ht="15">
      <c r="A175" s="66" t="s">
        <v>305</v>
      </c>
      <c r="B175" s="66" t="s">
        <v>305</v>
      </c>
      <c r="C175" s="67" t="s">
        <v>2140</v>
      </c>
      <c r="D175" s="68">
        <v>3</v>
      </c>
      <c r="E175" s="69" t="s">
        <v>136</v>
      </c>
      <c r="F175" s="70">
        <v>6</v>
      </c>
      <c r="G175" s="67"/>
      <c r="H175" s="71"/>
      <c r="I175" s="72"/>
      <c r="J175" s="72"/>
      <c r="K175" s="35" t="s">
        <v>65</v>
      </c>
      <c r="L175" s="80">
        <v>175</v>
      </c>
      <c r="M175" s="80"/>
      <c r="N175" s="74"/>
      <c r="O175" s="82" t="s">
        <v>211</v>
      </c>
      <c r="P175" s="84">
        <v>44726.619155092594</v>
      </c>
      <c r="Q175" s="82" t="s">
        <v>433</v>
      </c>
      <c r="R175" s="82"/>
      <c r="S175" s="82"/>
      <c r="T175" s="82"/>
      <c r="U175" s="82"/>
      <c r="V175" s="85" t="str">
        <f>HYPERLINK("https://pbs.twimg.com/profile_images/825717962481029123/h6cXfTnb_normal.jpg")</f>
        <v>https://pbs.twimg.com/profile_images/825717962481029123/h6cXfTnb_normal.jpg</v>
      </c>
      <c r="W175" s="84">
        <v>44726.619155092594</v>
      </c>
      <c r="X175" s="89">
        <v>44726</v>
      </c>
      <c r="Y175" s="87" t="s">
        <v>659</v>
      </c>
      <c r="Z175" s="85" t="str">
        <f>HYPERLINK("https://twitter.com/chombotofficial/status/1536723028071133184")</f>
        <v>https://twitter.com/chombotofficial/status/1536723028071133184</v>
      </c>
      <c r="AA175" s="82"/>
      <c r="AB175" s="82"/>
      <c r="AC175" s="87" t="s">
        <v>852</v>
      </c>
      <c r="AD175" s="82"/>
      <c r="AE175" s="82" t="b">
        <v>0</v>
      </c>
      <c r="AF175" s="82">
        <v>0</v>
      </c>
      <c r="AG175" s="87" t="s">
        <v>957</v>
      </c>
      <c r="AH175" s="82" t="b">
        <v>0</v>
      </c>
      <c r="AI175" s="82" t="s">
        <v>973</v>
      </c>
      <c r="AJ175" s="82"/>
      <c r="AK175" s="87" t="s">
        <v>957</v>
      </c>
      <c r="AL175" s="82" t="b">
        <v>0</v>
      </c>
      <c r="AM175" s="82">
        <v>0</v>
      </c>
      <c r="AN175" s="87" t="s">
        <v>957</v>
      </c>
      <c r="AO175" s="87" t="s">
        <v>305</v>
      </c>
      <c r="AP175" s="82" t="b">
        <v>0</v>
      </c>
      <c r="AQ175" s="87" t="s">
        <v>852</v>
      </c>
      <c r="AR175" s="82" t="s">
        <v>211</v>
      </c>
      <c r="AS175" s="82">
        <v>0</v>
      </c>
      <c r="AT175" s="82">
        <v>0</v>
      </c>
      <c r="AU175" s="82"/>
      <c r="AV175" s="82"/>
      <c r="AW175" s="82"/>
      <c r="AX175" s="82"/>
      <c r="AY175" s="82"/>
      <c r="AZ175" s="82"/>
      <c r="BA175" s="82"/>
      <c r="BB175" s="82"/>
      <c r="BC175">
        <v>142</v>
      </c>
      <c r="BD175" s="81" t="str">
        <f>REPLACE(INDEX(GroupVertices[Group],MATCH(Edges[[#This Row],[Vertex 1]],GroupVertices[Vertex],0)),1,1,"")</f>
        <v>2</v>
      </c>
      <c r="BE175" s="81" t="str">
        <f>REPLACE(INDEX(GroupVertices[Group],MATCH(Edges[[#This Row],[Vertex 2]],GroupVertices[Vertex],0)),1,1,"")</f>
        <v>2</v>
      </c>
      <c r="BF175" s="49">
        <v>1</v>
      </c>
      <c r="BG175" s="50">
        <v>4.545454545454546</v>
      </c>
      <c r="BH175" s="49">
        <v>1</v>
      </c>
      <c r="BI175" s="50">
        <v>4.545454545454546</v>
      </c>
      <c r="BJ175" s="49">
        <v>0</v>
      </c>
      <c r="BK175" s="50">
        <v>0</v>
      </c>
      <c r="BL175" s="49">
        <v>20</v>
      </c>
      <c r="BM175" s="50">
        <v>90.9090909090909</v>
      </c>
      <c r="BN175" s="49">
        <v>22</v>
      </c>
    </row>
    <row r="176" spans="1:66" ht="15">
      <c r="A176" s="66" t="s">
        <v>305</v>
      </c>
      <c r="B176" s="66" t="s">
        <v>305</v>
      </c>
      <c r="C176" s="67" t="s">
        <v>2140</v>
      </c>
      <c r="D176" s="68">
        <v>3</v>
      </c>
      <c r="E176" s="69" t="s">
        <v>136</v>
      </c>
      <c r="F176" s="70">
        <v>6</v>
      </c>
      <c r="G176" s="67"/>
      <c r="H176" s="71"/>
      <c r="I176" s="72"/>
      <c r="J176" s="72"/>
      <c r="K176" s="35" t="s">
        <v>65</v>
      </c>
      <c r="L176" s="80">
        <v>176</v>
      </c>
      <c r="M176" s="80"/>
      <c r="N176" s="74"/>
      <c r="O176" s="82" t="s">
        <v>211</v>
      </c>
      <c r="P176" s="84">
        <v>44726.68512731481</v>
      </c>
      <c r="Q176" s="82" t="s">
        <v>434</v>
      </c>
      <c r="R176" s="82"/>
      <c r="S176" s="82"/>
      <c r="T176" s="82"/>
      <c r="U176" s="82"/>
      <c r="V176" s="85" t="str">
        <f>HYPERLINK("https://pbs.twimg.com/profile_images/825717962481029123/h6cXfTnb_normal.jpg")</f>
        <v>https://pbs.twimg.com/profile_images/825717962481029123/h6cXfTnb_normal.jpg</v>
      </c>
      <c r="W176" s="84">
        <v>44726.68512731481</v>
      </c>
      <c r="X176" s="89">
        <v>44726</v>
      </c>
      <c r="Y176" s="87" t="s">
        <v>660</v>
      </c>
      <c r="Z176" s="85" t="str">
        <f>HYPERLINK("https://twitter.com/chombotofficial/status/1536746934479863813")</f>
        <v>https://twitter.com/chombotofficial/status/1536746934479863813</v>
      </c>
      <c r="AA176" s="82"/>
      <c r="AB176" s="82"/>
      <c r="AC176" s="87" t="s">
        <v>853</v>
      </c>
      <c r="AD176" s="82"/>
      <c r="AE176" s="82" t="b">
        <v>0</v>
      </c>
      <c r="AF176" s="82">
        <v>0</v>
      </c>
      <c r="AG176" s="87" t="s">
        <v>957</v>
      </c>
      <c r="AH176" s="82" t="b">
        <v>0</v>
      </c>
      <c r="AI176" s="82" t="s">
        <v>973</v>
      </c>
      <c r="AJ176" s="82"/>
      <c r="AK176" s="87" t="s">
        <v>957</v>
      </c>
      <c r="AL176" s="82" t="b">
        <v>0</v>
      </c>
      <c r="AM176" s="82">
        <v>0</v>
      </c>
      <c r="AN176" s="87" t="s">
        <v>957</v>
      </c>
      <c r="AO176" s="87" t="s">
        <v>305</v>
      </c>
      <c r="AP176" s="82" t="b">
        <v>0</v>
      </c>
      <c r="AQ176" s="87" t="s">
        <v>853</v>
      </c>
      <c r="AR176" s="82" t="s">
        <v>211</v>
      </c>
      <c r="AS176" s="82">
        <v>0</v>
      </c>
      <c r="AT176" s="82">
        <v>0</v>
      </c>
      <c r="AU176" s="82"/>
      <c r="AV176" s="82"/>
      <c r="AW176" s="82"/>
      <c r="AX176" s="82"/>
      <c r="AY176" s="82"/>
      <c r="AZ176" s="82"/>
      <c r="BA176" s="82"/>
      <c r="BB176" s="82"/>
      <c r="BC176">
        <v>142</v>
      </c>
      <c r="BD176" s="81" t="str">
        <f>REPLACE(INDEX(GroupVertices[Group],MATCH(Edges[[#This Row],[Vertex 1]],GroupVertices[Vertex],0)),1,1,"")</f>
        <v>2</v>
      </c>
      <c r="BE176" s="81" t="str">
        <f>REPLACE(INDEX(GroupVertices[Group],MATCH(Edges[[#This Row],[Vertex 2]],GroupVertices[Vertex],0)),1,1,"")</f>
        <v>2</v>
      </c>
      <c r="BF176" s="49">
        <v>1</v>
      </c>
      <c r="BG176" s="50">
        <v>4.3478260869565215</v>
      </c>
      <c r="BH176" s="49">
        <v>1</v>
      </c>
      <c r="BI176" s="50">
        <v>4.3478260869565215</v>
      </c>
      <c r="BJ176" s="49">
        <v>0</v>
      </c>
      <c r="BK176" s="50">
        <v>0</v>
      </c>
      <c r="BL176" s="49">
        <v>21</v>
      </c>
      <c r="BM176" s="50">
        <v>91.30434782608695</v>
      </c>
      <c r="BN176" s="49">
        <v>23</v>
      </c>
    </row>
    <row r="177" spans="1:66" ht="15">
      <c r="A177" s="66" t="s">
        <v>305</v>
      </c>
      <c r="B177" s="66" t="s">
        <v>305</v>
      </c>
      <c r="C177" s="67" t="s">
        <v>2140</v>
      </c>
      <c r="D177" s="68">
        <v>3</v>
      </c>
      <c r="E177" s="69" t="s">
        <v>136</v>
      </c>
      <c r="F177" s="70">
        <v>6</v>
      </c>
      <c r="G177" s="67"/>
      <c r="H177" s="71"/>
      <c r="I177" s="72"/>
      <c r="J177" s="72"/>
      <c r="K177" s="35" t="s">
        <v>65</v>
      </c>
      <c r="L177" s="80">
        <v>177</v>
      </c>
      <c r="M177" s="80"/>
      <c r="N177" s="74"/>
      <c r="O177" s="82" t="s">
        <v>211</v>
      </c>
      <c r="P177" s="84">
        <v>44726.69207175926</v>
      </c>
      <c r="Q177" s="82" t="s">
        <v>435</v>
      </c>
      <c r="R177" s="82"/>
      <c r="S177" s="82"/>
      <c r="T177" s="82"/>
      <c r="U177" s="82"/>
      <c r="V177" s="85" t="str">
        <f>HYPERLINK("https://pbs.twimg.com/profile_images/825717962481029123/h6cXfTnb_normal.jpg")</f>
        <v>https://pbs.twimg.com/profile_images/825717962481029123/h6cXfTnb_normal.jpg</v>
      </c>
      <c r="W177" s="84">
        <v>44726.69207175926</v>
      </c>
      <c r="X177" s="89">
        <v>44726</v>
      </c>
      <c r="Y177" s="87" t="s">
        <v>661</v>
      </c>
      <c r="Z177" s="85" t="str">
        <f>HYPERLINK("https://twitter.com/chombotofficial/status/1536749453419466752")</f>
        <v>https://twitter.com/chombotofficial/status/1536749453419466752</v>
      </c>
      <c r="AA177" s="82"/>
      <c r="AB177" s="82"/>
      <c r="AC177" s="87" t="s">
        <v>854</v>
      </c>
      <c r="AD177" s="82"/>
      <c r="AE177" s="82" t="b">
        <v>0</v>
      </c>
      <c r="AF177" s="82">
        <v>0</v>
      </c>
      <c r="AG177" s="87" t="s">
        <v>957</v>
      </c>
      <c r="AH177" s="82" t="b">
        <v>0</v>
      </c>
      <c r="AI177" s="82" t="s">
        <v>973</v>
      </c>
      <c r="AJ177" s="82"/>
      <c r="AK177" s="87" t="s">
        <v>957</v>
      </c>
      <c r="AL177" s="82" t="b">
        <v>0</v>
      </c>
      <c r="AM177" s="82">
        <v>0</v>
      </c>
      <c r="AN177" s="87" t="s">
        <v>957</v>
      </c>
      <c r="AO177" s="87" t="s">
        <v>305</v>
      </c>
      <c r="AP177" s="82" t="b">
        <v>0</v>
      </c>
      <c r="AQ177" s="87" t="s">
        <v>854</v>
      </c>
      <c r="AR177" s="82" t="s">
        <v>211</v>
      </c>
      <c r="AS177" s="82">
        <v>0</v>
      </c>
      <c r="AT177" s="82">
        <v>0</v>
      </c>
      <c r="AU177" s="82"/>
      <c r="AV177" s="82"/>
      <c r="AW177" s="82"/>
      <c r="AX177" s="82"/>
      <c r="AY177" s="82"/>
      <c r="AZ177" s="82"/>
      <c r="BA177" s="82"/>
      <c r="BB177" s="82"/>
      <c r="BC177">
        <v>142</v>
      </c>
      <c r="BD177" s="81" t="str">
        <f>REPLACE(INDEX(GroupVertices[Group],MATCH(Edges[[#This Row],[Vertex 1]],GroupVertices[Vertex],0)),1,1,"")</f>
        <v>2</v>
      </c>
      <c r="BE177" s="81" t="str">
        <f>REPLACE(INDEX(GroupVertices[Group],MATCH(Edges[[#This Row],[Vertex 2]],GroupVertices[Vertex],0)),1,1,"")</f>
        <v>2</v>
      </c>
      <c r="BF177" s="49">
        <v>0</v>
      </c>
      <c r="BG177" s="50">
        <v>0</v>
      </c>
      <c r="BH177" s="49">
        <v>1</v>
      </c>
      <c r="BI177" s="50">
        <v>4.166666666666667</v>
      </c>
      <c r="BJ177" s="49">
        <v>0</v>
      </c>
      <c r="BK177" s="50">
        <v>0</v>
      </c>
      <c r="BL177" s="49">
        <v>23</v>
      </c>
      <c r="BM177" s="50">
        <v>95.83333333333333</v>
      </c>
      <c r="BN177" s="49">
        <v>24</v>
      </c>
    </row>
    <row r="178" spans="1:66" ht="15">
      <c r="A178" s="66" t="s">
        <v>305</v>
      </c>
      <c r="B178" s="66" t="s">
        <v>305</v>
      </c>
      <c r="C178" s="67" t="s">
        <v>2140</v>
      </c>
      <c r="D178" s="68">
        <v>3</v>
      </c>
      <c r="E178" s="69" t="s">
        <v>136</v>
      </c>
      <c r="F178" s="70">
        <v>6</v>
      </c>
      <c r="G178" s="67"/>
      <c r="H178" s="71"/>
      <c r="I178" s="72"/>
      <c r="J178" s="72"/>
      <c r="K178" s="35" t="s">
        <v>65</v>
      </c>
      <c r="L178" s="80">
        <v>178</v>
      </c>
      <c r="M178" s="80"/>
      <c r="N178" s="74"/>
      <c r="O178" s="82" t="s">
        <v>211</v>
      </c>
      <c r="P178" s="84">
        <v>44726.71984953704</v>
      </c>
      <c r="Q178" s="82" t="s">
        <v>436</v>
      </c>
      <c r="R178" s="82"/>
      <c r="S178" s="82"/>
      <c r="T178" s="82"/>
      <c r="U178" s="82"/>
      <c r="V178" s="85" t="str">
        <f>HYPERLINK("https://pbs.twimg.com/profile_images/825717962481029123/h6cXfTnb_normal.jpg")</f>
        <v>https://pbs.twimg.com/profile_images/825717962481029123/h6cXfTnb_normal.jpg</v>
      </c>
      <c r="W178" s="84">
        <v>44726.71984953704</v>
      </c>
      <c r="X178" s="89">
        <v>44726</v>
      </c>
      <c r="Y178" s="87" t="s">
        <v>662</v>
      </c>
      <c r="Z178" s="85" t="str">
        <f>HYPERLINK("https://twitter.com/chombotofficial/status/1536759517488336896")</f>
        <v>https://twitter.com/chombotofficial/status/1536759517488336896</v>
      </c>
      <c r="AA178" s="82"/>
      <c r="AB178" s="82"/>
      <c r="AC178" s="87" t="s">
        <v>855</v>
      </c>
      <c r="AD178" s="82"/>
      <c r="AE178" s="82" t="b">
        <v>0</v>
      </c>
      <c r="AF178" s="82">
        <v>0</v>
      </c>
      <c r="AG178" s="87" t="s">
        <v>957</v>
      </c>
      <c r="AH178" s="82" t="b">
        <v>0</v>
      </c>
      <c r="AI178" s="82" t="s">
        <v>973</v>
      </c>
      <c r="AJ178" s="82"/>
      <c r="AK178" s="87" t="s">
        <v>957</v>
      </c>
      <c r="AL178" s="82" t="b">
        <v>0</v>
      </c>
      <c r="AM178" s="82">
        <v>0</v>
      </c>
      <c r="AN178" s="87" t="s">
        <v>957</v>
      </c>
      <c r="AO178" s="87" t="s">
        <v>305</v>
      </c>
      <c r="AP178" s="82" t="b">
        <v>0</v>
      </c>
      <c r="AQ178" s="87" t="s">
        <v>855</v>
      </c>
      <c r="AR178" s="82" t="s">
        <v>211</v>
      </c>
      <c r="AS178" s="82">
        <v>0</v>
      </c>
      <c r="AT178" s="82">
        <v>0</v>
      </c>
      <c r="AU178" s="82"/>
      <c r="AV178" s="82"/>
      <c r="AW178" s="82"/>
      <c r="AX178" s="82"/>
      <c r="AY178" s="82"/>
      <c r="AZ178" s="82"/>
      <c r="BA178" s="82"/>
      <c r="BB178" s="82"/>
      <c r="BC178">
        <v>142</v>
      </c>
      <c r="BD178" s="81" t="str">
        <f>REPLACE(INDEX(GroupVertices[Group],MATCH(Edges[[#This Row],[Vertex 1]],GroupVertices[Vertex],0)),1,1,"")</f>
        <v>2</v>
      </c>
      <c r="BE178" s="81" t="str">
        <f>REPLACE(INDEX(GroupVertices[Group],MATCH(Edges[[#This Row],[Vertex 2]],GroupVertices[Vertex],0)),1,1,"")</f>
        <v>2</v>
      </c>
      <c r="BF178" s="49">
        <v>0</v>
      </c>
      <c r="BG178" s="50">
        <v>0</v>
      </c>
      <c r="BH178" s="49">
        <v>2</v>
      </c>
      <c r="BI178" s="50">
        <v>10.526315789473685</v>
      </c>
      <c r="BJ178" s="49">
        <v>0</v>
      </c>
      <c r="BK178" s="50">
        <v>0</v>
      </c>
      <c r="BL178" s="49">
        <v>17</v>
      </c>
      <c r="BM178" s="50">
        <v>89.47368421052632</v>
      </c>
      <c r="BN178" s="49">
        <v>19</v>
      </c>
    </row>
    <row r="179" spans="1:66" ht="15">
      <c r="A179" s="66" t="s">
        <v>305</v>
      </c>
      <c r="B179" s="66" t="s">
        <v>305</v>
      </c>
      <c r="C179" s="67" t="s">
        <v>2140</v>
      </c>
      <c r="D179" s="68">
        <v>3</v>
      </c>
      <c r="E179" s="69" t="s">
        <v>136</v>
      </c>
      <c r="F179" s="70">
        <v>6</v>
      </c>
      <c r="G179" s="67"/>
      <c r="H179" s="71"/>
      <c r="I179" s="72"/>
      <c r="J179" s="72"/>
      <c r="K179" s="35" t="s">
        <v>65</v>
      </c>
      <c r="L179" s="80">
        <v>179</v>
      </c>
      <c r="M179" s="80"/>
      <c r="N179" s="74"/>
      <c r="O179" s="82" t="s">
        <v>211</v>
      </c>
      <c r="P179" s="84">
        <v>44726.78582175926</v>
      </c>
      <c r="Q179" s="82" t="s">
        <v>437</v>
      </c>
      <c r="R179" s="82"/>
      <c r="S179" s="82"/>
      <c r="T179" s="82"/>
      <c r="U179" s="82"/>
      <c r="V179" s="85" t="str">
        <f>HYPERLINK("https://pbs.twimg.com/profile_images/825717962481029123/h6cXfTnb_normal.jpg")</f>
        <v>https://pbs.twimg.com/profile_images/825717962481029123/h6cXfTnb_normal.jpg</v>
      </c>
      <c r="W179" s="84">
        <v>44726.78582175926</v>
      </c>
      <c r="X179" s="89">
        <v>44726</v>
      </c>
      <c r="Y179" s="87" t="s">
        <v>663</v>
      </c>
      <c r="Z179" s="85" t="str">
        <f>HYPERLINK("https://twitter.com/chombotofficial/status/1536783424492552192")</f>
        <v>https://twitter.com/chombotofficial/status/1536783424492552192</v>
      </c>
      <c r="AA179" s="82"/>
      <c r="AB179" s="82"/>
      <c r="AC179" s="87" t="s">
        <v>856</v>
      </c>
      <c r="AD179" s="82"/>
      <c r="AE179" s="82" t="b">
        <v>0</v>
      </c>
      <c r="AF179" s="82">
        <v>0</v>
      </c>
      <c r="AG179" s="87" t="s">
        <v>957</v>
      </c>
      <c r="AH179" s="82" t="b">
        <v>0</v>
      </c>
      <c r="AI179" s="82" t="s">
        <v>973</v>
      </c>
      <c r="AJ179" s="82"/>
      <c r="AK179" s="87" t="s">
        <v>957</v>
      </c>
      <c r="AL179" s="82" t="b">
        <v>0</v>
      </c>
      <c r="AM179" s="82">
        <v>0</v>
      </c>
      <c r="AN179" s="87" t="s">
        <v>957</v>
      </c>
      <c r="AO179" s="87" t="s">
        <v>305</v>
      </c>
      <c r="AP179" s="82" t="b">
        <v>0</v>
      </c>
      <c r="AQ179" s="87" t="s">
        <v>856</v>
      </c>
      <c r="AR179" s="82" t="s">
        <v>211</v>
      </c>
      <c r="AS179" s="82">
        <v>0</v>
      </c>
      <c r="AT179" s="82">
        <v>0</v>
      </c>
      <c r="AU179" s="82"/>
      <c r="AV179" s="82"/>
      <c r="AW179" s="82"/>
      <c r="AX179" s="82"/>
      <c r="AY179" s="82"/>
      <c r="AZ179" s="82"/>
      <c r="BA179" s="82"/>
      <c r="BB179" s="82"/>
      <c r="BC179">
        <v>142</v>
      </c>
      <c r="BD179" s="81" t="str">
        <f>REPLACE(INDEX(GroupVertices[Group],MATCH(Edges[[#This Row],[Vertex 1]],GroupVertices[Vertex],0)),1,1,"")</f>
        <v>2</v>
      </c>
      <c r="BE179" s="81" t="str">
        <f>REPLACE(INDEX(GroupVertices[Group],MATCH(Edges[[#This Row],[Vertex 2]],GroupVertices[Vertex],0)),1,1,"")</f>
        <v>2</v>
      </c>
      <c r="BF179" s="49">
        <v>0</v>
      </c>
      <c r="BG179" s="50">
        <v>0</v>
      </c>
      <c r="BH179" s="49">
        <v>0</v>
      </c>
      <c r="BI179" s="50">
        <v>0</v>
      </c>
      <c r="BJ179" s="49">
        <v>0</v>
      </c>
      <c r="BK179" s="50">
        <v>0</v>
      </c>
      <c r="BL179" s="49">
        <v>21</v>
      </c>
      <c r="BM179" s="50">
        <v>100</v>
      </c>
      <c r="BN179" s="49">
        <v>21</v>
      </c>
    </row>
    <row r="180" spans="1:66" ht="15">
      <c r="A180" s="66" t="s">
        <v>305</v>
      </c>
      <c r="B180" s="66" t="s">
        <v>305</v>
      </c>
      <c r="C180" s="67" t="s">
        <v>2140</v>
      </c>
      <c r="D180" s="68">
        <v>3</v>
      </c>
      <c r="E180" s="69" t="s">
        <v>136</v>
      </c>
      <c r="F180" s="70">
        <v>6</v>
      </c>
      <c r="G180" s="67"/>
      <c r="H180" s="71"/>
      <c r="I180" s="72"/>
      <c r="J180" s="72"/>
      <c r="K180" s="35" t="s">
        <v>65</v>
      </c>
      <c r="L180" s="80">
        <v>180</v>
      </c>
      <c r="M180" s="80"/>
      <c r="N180" s="74"/>
      <c r="O180" s="82" t="s">
        <v>211</v>
      </c>
      <c r="P180" s="84">
        <v>44726.81012731481</v>
      </c>
      <c r="Q180" s="82" t="s">
        <v>438</v>
      </c>
      <c r="R180" s="82"/>
      <c r="S180" s="82"/>
      <c r="T180" s="82"/>
      <c r="U180" s="82"/>
      <c r="V180" s="85" t="str">
        <f>HYPERLINK("https://pbs.twimg.com/profile_images/825717962481029123/h6cXfTnb_normal.jpg")</f>
        <v>https://pbs.twimg.com/profile_images/825717962481029123/h6cXfTnb_normal.jpg</v>
      </c>
      <c r="W180" s="84">
        <v>44726.81012731481</v>
      </c>
      <c r="X180" s="89">
        <v>44726</v>
      </c>
      <c r="Y180" s="87" t="s">
        <v>664</v>
      </c>
      <c r="Z180" s="85" t="str">
        <f>HYPERLINK("https://twitter.com/chombotofficial/status/1536792232807759873")</f>
        <v>https://twitter.com/chombotofficial/status/1536792232807759873</v>
      </c>
      <c r="AA180" s="82"/>
      <c r="AB180" s="82"/>
      <c r="AC180" s="87" t="s">
        <v>857</v>
      </c>
      <c r="AD180" s="82"/>
      <c r="AE180" s="82" t="b">
        <v>0</v>
      </c>
      <c r="AF180" s="82">
        <v>0</v>
      </c>
      <c r="AG180" s="87" t="s">
        <v>957</v>
      </c>
      <c r="AH180" s="82" t="b">
        <v>0</v>
      </c>
      <c r="AI180" s="82" t="s">
        <v>973</v>
      </c>
      <c r="AJ180" s="82"/>
      <c r="AK180" s="87" t="s">
        <v>957</v>
      </c>
      <c r="AL180" s="82" t="b">
        <v>0</v>
      </c>
      <c r="AM180" s="82">
        <v>0</v>
      </c>
      <c r="AN180" s="87" t="s">
        <v>957</v>
      </c>
      <c r="AO180" s="87" t="s">
        <v>305</v>
      </c>
      <c r="AP180" s="82" t="b">
        <v>0</v>
      </c>
      <c r="AQ180" s="87" t="s">
        <v>857</v>
      </c>
      <c r="AR180" s="82" t="s">
        <v>211</v>
      </c>
      <c r="AS180" s="82">
        <v>0</v>
      </c>
      <c r="AT180" s="82">
        <v>0</v>
      </c>
      <c r="AU180" s="82"/>
      <c r="AV180" s="82"/>
      <c r="AW180" s="82"/>
      <c r="AX180" s="82"/>
      <c r="AY180" s="82"/>
      <c r="AZ180" s="82"/>
      <c r="BA180" s="82"/>
      <c r="BB180" s="82"/>
      <c r="BC180">
        <v>142</v>
      </c>
      <c r="BD180" s="81" t="str">
        <f>REPLACE(INDEX(GroupVertices[Group],MATCH(Edges[[#This Row],[Vertex 1]],GroupVertices[Vertex],0)),1,1,"")</f>
        <v>2</v>
      </c>
      <c r="BE180" s="81" t="str">
        <f>REPLACE(INDEX(GroupVertices[Group],MATCH(Edges[[#This Row],[Vertex 2]],GroupVertices[Vertex],0)),1,1,"")</f>
        <v>2</v>
      </c>
      <c r="BF180" s="49">
        <v>0</v>
      </c>
      <c r="BG180" s="50">
        <v>0</v>
      </c>
      <c r="BH180" s="49">
        <v>1</v>
      </c>
      <c r="BI180" s="50">
        <v>5.2631578947368425</v>
      </c>
      <c r="BJ180" s="49">
        <v>0</v>
      </c>
      <c r="BK180" s="50">
        <v>0</v>
      </c>
      <c r="BL180" s="49">
        <v>18</v>
      </c>
      <c r="BM180" s="50">
        <v>94.73684210526316</v>
      </c>
      <c r="BN180" s="49">
        <v>19</v>
      </c>
    </row>
    <row r="181" spans="1:66" ht="15">
      <c r="A181" s="66" t="s">
        <v>305</v>
      </c>
      <c r="B181" s="66" t="s">
        <v>305</v>
      </c>
      <c r="C181" s="67" t="s">
        <v>2140</v>
      </c>
      <c r="D181" s="68">
        <v>3</v>
      </c>
      <c r="E181" s="69" t="s">
        <v>136</v>
      </c>
      <c r="F181" s="70">
        <v>6</v>
      </c>
      <c r="G181" s="67"/>
      <c r="H181" s="71"/>
      <c r="I181" s="72"/>
      <c r="J181" s="72"/>
      <c r="K181" s="35" t="s">
        <v>65</v>
      </c>
      <c r="L181" s="80">
        <v>181</v>
      </c>
      <c r="M181" s="80"/>
      <c r="N181" s="74"/>
      <c r="O181" s="82" t="s">
        <v>211</v>
      </c>
      <c r="P181" s="84">
        <v>44726.96637731481</v>
      </c>
      <c r="Q181" s="82" t="s">
        <v>439</v>
      </c>
      <c r="R181" s="82"/>
      <c r="S181" s="82"/>
      <c r="T181" s="82"/>
      <c r="U181" s="82"/>
      <c r="V181" s="85" t="str">
        <f>HYPERLINK("https://pbs.twimg.com/profile_images/825717962481029123/h6cXfTnb_normal.jpg")</f>
        <v>https://pbs.twimg.com/profile_images/825717962481029123/h6cXfTnb_normal.jpg</v>
      </c>
      <c r="W181" s="84">
        <v>44726.96637731481</v>
      </c>
      <c r="X181" s="89">
        <v>44726</v>
      </c>
      <c r="Y181" s="87" t="s">
        <v>665</v>
      </c>
      <c r="Z181" s="85" t="str">
        <f>HYPERLINK("https://twitter.com/chombotofficial/status/1536848855597195264")</f>
        <v>https://twitter.com/chombotofficial/status/1536848855597195264</v>
      </c>
      <c r="AA181" s="82"/>
      <c r="AB181" s="82"/>
      <c r="AC181" s="87" t="s">
        <v>858</v>
      </c>
      <c r="AD181" s="82"/>
      <c r="AE181" s="82" t="b">
        <v>0</v>
      </c>
      <c r="AF181" s="82">
        <v>0</v>
      </c>
      <c r="AG181" s="87" t="s">
        <v>957</v>
      </c>
      <c r="AH181" s="82" t="b">
        <v>0</v>
      </c>
      <c r="AI181" s="82" t="s">
        <v>973</v>
      </c>
      <c r="AJ181" s="82"/>
      <c r="AK181" s="87" t="s">
        <v>957</v>
      </c>
      <c r="AL181" s="82" t="b">
        <v>0</v>
      </c>
      <c r="AM181" s="82">
        <v>0</v>
      </c>
      <c r="AN181" s="87" t="s">
        <v>957</v>
      </c>
      <c r="AO181" s="87" t="s">
        <v>305</v>
      </c>
      <c r="AP181" s="82" t="b">
        <v>0</v>
      </c>
      <c r="AQ181" s="87" t="s">
        <v>858</v>
      </c>
      <c r="AR181" s="82" t="s">
        <v>211</v>
      </c>
      <c r="AS181" s="82">
        <v>0</v>
      </c>
      <c r="AT181" s="82">
        <v>0</v>
      </c>
      <c r="AU181" s="82"/>
      <c r="AV181" s="82"/>
      <c r="AW181" s="82"/>
      <c r="AX181" s="82"/>
      <c r="AY181" s="82"/>
      <c r="AZ181" s="82"/>
      <c r="BA181" s="82"/>
      <c r="BB181" s="82"/>
      <c r="BC181">
        <v>142</v>
      </c>
      <c r="BD181" s="81" t="str">
        <f>REPLACE(INDEX(GroupVertices[Group],MATCH(Edges[[#This Row],[Vertex 1]],GroupVertices[Vertex],0)),1,1,"")</f>
        <v>2</v>
      </c>
      <c r="BE181" s="81" t="str">
        <f>REPLACE(INDEX(GroupVertices[Group],MATCH(Edges[[#This Row],[Vertex 2]],GroupVertices[Vertex],0)),1,1,"")</f>
        <v>2</v>
      </c>
      <c r="BF181" s="49">
        <v>0</v>
      </c>
      <c r="BG181" s="50">
        <v>0</v>
      </c>
      <c r="BH181" s="49">
        <v>0</v>
      </c>
      <c r="BI181" s="50">
        <v>0</v>
      </c>
      <c r="BJ181" s="49">
        <v>0</v>
      </c>
      <c r="BK181" s="50">
        <v>0</v>
      </c>
      <c r="BL181" s="49">
        <v>19</v>
      </c>
      <c r="BM181" s="50">
        <v>100</v>
      </c>
      <c r="BN181" s="49">
        <v>19</v>
      </c>
    </row>
    <row r="182" spans="1:66" ht="15">
      <c r="A182" s="66" t="s">
        <v>305</v>
      </c>
      <c r="B182" s="66" t="s">
        <v>305</v>
      </c>
      <c r="C182" s="67" t="s">
        <v>2140</v>
      </c>
      <c r="D182" s="68">
        <v>3</v>
      </c>
      <c r="E182" s="69" t="s">
        <v>136</v>
      </c>
      <c r="F182" s="70">
        <v>6</v>
      </c>
      <c r="G182" s="67"/>
      <c r="H182" s="71"/>
      <c r="I182" s="72"/>
      <c r="J182" s="72"/>
      <c r="K182" s="35" t="s">
        <v>65</v>
      </c>
      <c r="L182" s="80">
        <v>182</v>
      </c>
      <c r="M182" s="80"/>
      <c r="N182" s="74"/>
      <c r="O182" s="82" t="s">
        <v>211</v>
      </c>
      <c r="P182" s="84">
        <v>44727.04623842592</v>
      </c>
      <c r="Q182" s="82" t="s">
        <v>440</v>
      </c>
      <c r="R182" s="82"/>
      <c r="S182" s="82"/>
      <c r="T182" s="82"/>
      <c r="U182" s="82"/>
      <c r="V182" s="85" t="str">
        <f>HYPERLINK("https://pbs.twimg.com/profile_images/825717962481029123/h6cXfTnb_normal.jpg")</f>
        <v>https://pbs.twimg.com/profile_images/825717962481029123/h6cXfTnb_normal.jpg</v>
      </c>
      <c r="W182" s="84">
        <v>44727.04623842592</v>
      </c>
      <c r="X182" s="89">
        <v>44727</v>
      </c>
      <c r="Y182" s="87" t="s">
        <v>666</v>
      </c>
      <c r="Z182" s="85" t="str">
        <f>HYPERLINK("https://twitter.com/chombotofficial/status/1536877796600971264")</f>
        <v>https://twitter.com/chombotofficial/status/1536877796600971264</v>
      </c>
      <c r="AA182" s="82"/>
      <c r="AB182" s="82"/>
      <c r="AC182" s="87" t="s">
        <v>859</v>
      </c>
      <c r="AD182" s="82"/>
      <c r="AE182" s="82" t="b">
        <v>0</v>
      </c>
      <c r="AF182" s="82">
        <v>0</v>
      </c>
      <c r="AG182" s="87" t="s">
        <v>957</v>
      </c>
      <c r="AH182" s="82" t="b">
        <v>0</v>
      </c>
      <c r="AI182" s="82" t="s">
        <v>973</v>
      </c>
      <c r="AJ182" s="82"/>
      <c r="AK182" s="87" t="s">
        <v>957</v>
      </c>
      <c r="AL182" s="82" t="b">
        <v>0</v>
      </c>
      <c r="AM182" s="82">
        <v>0</v>
      </c>
      <c r="AN182" s="87" t="s">
        <v>957</v>
      </c>
      <c r="AO182" s="87" t="s">
        <v>305</v>
      </c>
      <c r="AP182" s="82" t="b">
        <v>0</v>
      </c>
      <c r="AQ182" s="87" t="s">
        <v>859</v>
      </c>
      <c r="AR182" s="82" t="s">
        <v>211</v>
      </c>
      <c r="AS182" s="82">
        <v>0</v>
      </c>
      <c r="AT182" s="82">
        <v>0</v>
      </c>
      <c r="AU182" s="82"/>
      <c r="AV182" s="82"/>
      <c r="AW182" s="82"/>
      <c r="AX182" s="82"/>
      <c r="AY182" s="82"/>
      <c r="AZ182" s="82"/>
      <c r="BA182" s="82"/>
      <c r="BB182" s="82"/>
      <c r="BC182">
        <v>142</v>
      </c>
      <c r="BD182" s="81" t="str">
        <f>REPLACE(INDEX(GroupVertices[Group],MATCH(Edges[[#This Row],[Vertex 1]],GroupVertices[Vertex],0)),1,1,"")</f>
        <v>2</v>
      </c>
      <c r="BE182" s="81" t="str">
        <f>REPLACE(INDEX(GroupVertices[Group],MATCH(Edges[[#This Row],[Vertex 2]],GroupVertices[Vertex],0)),1,1,"")</f>
        <v>2</v>
      </c>
      <c r="BF182" s="49">
        <v>3</v>
      </c>
      <c r="BG182" s="50">
        <v>15</v>
      </c>
      <c r="BH182" s="49">
        <v>0</v>
      </c>
      <c r="BI182" s="50">
        <v>0</v>
      </c>
      <c r="BJ182" s="49">
        <v>0</v>
      </c>
      <c r="BK182" s="50">
        <v>0</v>
      </c>
      <c r="BL182" s="49">
        <v>17</v>
      </c>
      <c r="BM182" s="50">
        <v>85</v>
      </c>
      <c r="BN182" s="49">
        <v>20</v>
      </c>
    </row>
    <row r="183" spans="1:66" ht="15">
      <c r="A183" s="66" t="s">
        <v>305</v>
      </c>
      <c r="B183" s="66" t="s">
        <v>305</v>
      </c>
      <c r="C183" s="67" t="s">
        <v>2140</v>
      </c>
      <c r="D183" s="68">
        <v>3</v>
      </c>
      <c r="E183" s="69" t="s">
        <v>136</v>
      </c>
      <c r="F183" s="70">
        <v>6</v>
      </c>
      <c r="G183" s="67"/>
      <c r="H183" s="71"/>
      <c r="I183" s="72"/>
      <c r="J183" s="72"/>
      <c r="K183" s="35" t="s">
        <v>65</v>
      </c>
      <c r="L183" s="80">
        <v>183</v>
      </c>
      <c r="M183" s="80"/>
      <c r="N183" s="74"/>
      <c r="O183" s="82" t="s">
        <v>211</v>
      </c>
      <c r="P183" s="84">
        <v>44727.070543981485</v>
      </c>
      <c r="Q183" s="82" t="s">
        <v>441</v>
      </c>
      <c r="R183" s="82"/>
      <c r="S183" s="82"/>
      <c r="T183" s="82"/>
      <c r="U183" s="82"/>
      <c r="V183" s="85" t="str">
        <f>HYPERLINK("https://pbs.twimg.com/profile_images/825717962481029123/h6cXfTnb_normal.jpg")</f>
        <v>https://pbs.twimg.com/profile_images/825717962481029123/h6cXfTnb_normal.jpg</v>
      </c>
      <c r="W183" s="84">
        <v>44727.070543981485</v>
      </c>
      <c r="X183" s="89">
        <v>44727</v>
      </c>
      <c r="Y183" s="87" t="s">
        <v>667</v>
      </c>
      <c r="Z183" s="85" t="str">
        <f>HYPERLINK("https://twitter.com/chombotofficial/status/1536886604589064193")</f>
        <v>https://twitter.com/chombotofficial/status/1536886604589064193</v>
      </c>
      <c r="AA183" s="82"/>
      <c r="AB183" s="82"/>
      <c r="AC183" s="87" t="s">
        <v>860</v>
      </c>
      <c r="AD183" s="82"/>
      <c r="AE183" s="82" t="b">
        <v>0</v>
      </c>
      <c r="AF183" s="82">
        <v>0</v>
      </c>
      <c r="AG183" s="87" t="s">
        <v>957</v>
      </c>
      <c r="AH183" s="82" t="b">
        <v>0</v>
      </c>
      <c r="AI183" s="82" t="s">
        <v>973</v>
      </c>
      <c r="AJ183" s="82"/>
      <c r="AK183" s="87" t="s">
        <v>957</v>
      </c>
      <c r="AL183" s="82" t="b">
        <v>0</v>
      </c>
      <c r="AM183" s="82">
        <v>0</v>
      </c>
      <c r="AN183" s="87" t="s">
        <v>957</v>
      </c>
      <c r="AO183" s="87" t="s">
        <v>305</v>
      </c>
      <c r="AP183" s="82" t="b">
        <v>0</v>
      </c>
      <c r="AQ183" s="87" t="s">
        <v>860</v>
      </c>
      <c r="AR183" s="82" t="s">
        <v>211</v>
      </c>
      <c r="AS183" s="82">
        <v>0</v>
      </c>
      <c r="AT183" s="82">
        <v>0</v>
      </c>
      <c r="AU183" s="82"/>
      <c r="AV183" s="82"/>
      <c r="AW183" s="82"/>
      <c r="AX183" s="82"/>
      <c r="AY183" s="82"/>
      <c r="AZ183" s="82"/>
      <c r="BA183" s="82"/>
      <c r="BB183" s="82"/>
      <c r="BC183">
        <v>142</v>
      </c>
      <c r="BD183" s="81" t="str">
        <f>REPLACE(INDEX(GroupVertices[Group],MATCH(Edges[[#This Row],[Vertex 1]],GroupVertices[Vertex],0)),1,1,"")</f>
        <v>2</v>
      </c>
      <c r="BE183" s="81" t="str">
        <f>REPLACE(INDEX(GroupVertices[Group],MATCH(Edges[[#This Row],[Vertex 2]],GroupVertices[Vertex],0)),1,1,"")</f>
        <v>2</v>
      </c>
      <c r="BF183" s="49">
        <v>0</v>
      </c>
      <c r="BG183" s="50">
        <v>0</v>
      </c>
      <c r="BH183" s="49">
        <v>0</v>
      </c>
      <c r="BI183" s="50">
        <v>0</v>
      </c>
      <c r="BJ183" s="49">
        <v>0</v>
      </c>
      <c r="BK183" s="50">
        <v>0</v>
      </c>
      <c r="BL183" s="49">
        <v>19</v>
      </c>
      <c r="BM183" s="50">
        <v>100</v>
      </c>
      <c r="BN183" s="49">
        <v>19</v>
      </c>
    </row>
    <row r="184" spans="1:66" ht="15">
      <c r="A184" s="66" t="s">
        <v>305</v>
      </c>
      <c r="B184" s="66" t="s">
        <v>305</v>
      </c>
      <c r="C184" s="67" t="s">
        <v>2140</v>
      </c>
      <c r="D184" s="68">
        <v>3</v>
      </c>
      <c r="E184" s="69" t="s">
        <v>136</v>
      </c>
      <c r="F184" s="70">
        <v>6</v>
      </c>
      <c r="G184" s="67"/>
      <c r="H184" s="71"/>
      <c r="I184" s="72"/>
      <c r="J184" s="72"/>
      <c r="K184" s="35" t="s">
        <v>65</v>
      </c>
      <c r="L184" s="80">
        <v>184</v>
      </c>
      <c r="M184" s="80"/>
      <c r="N184" s="74"/>
      <c r="O184" s="82" t="s">
        <v>211</v>
      </c>
      <c r="P184" s="84">
        <v>44727.14346064815</v>
      </c>
      <c r="Q184" s="82" t="s">
        <v>442</v>
      </c>
      <c r="R184" s="82"/>
      <c r="S184" s="82"/>
      <c r="T184" s="82"/>
      <c r="U184" s="82"/>
      <c r="V184" s="85" t="str">
        <f>HYPERLINK("https://pbs.twimg.com/profile_images/825717962481029123/h6cXfTnb_normal.jpg")</f>
        <v>https://pbs.twimg.com/profile_images/825717962481029123/h6cXfTnb_normal.jpg</v>
      </c>
      <c r="W184" s="84">
        <v>44727.14346064815</v>
      </c>
      <c r="X184" s="89">
        <v>44727</v>
      </c>
      <c r="Y184" s="87" t="s">
        <v>668</v>
      </c>
      <c r="Z184" s="85" t="str">
        <f>HYPERLINK("https://twitter.com/chombotofficial/status/1536913029425676288")</f>
        <v>https://twitter.com/chombotofficial/status/1536913029425676288</v>
      </c>
      <c r="AA184" s="82"/>
      <c r="AB184" s="82"/>
      <c r="AC184" s="87" t="s">
        <v>861</v>
      </c>
      <c r="AD184" s="82"/>
      <c r="AE184" s="82" t="b">
        <v>0</v>
      </c>
      <c r="AF184" s="82">
        <v>0</v>
      </c>
      <c r="AG184" s="87" t="s">
        <v>957</v>
      </c>
      <c r="AH184" s="82" t="b">
        <v>0</v>
      </c>
      <c r="AI184" s="82" t="s">
        <v>973</v>
      </c>
      <c r="AJ184" s="82"/>
      <c r="AK184" s="87" t="s">
        <v>957</v>
      </c>
      <c r="AL184" s="82" t="b">
        <v>0</v>
      </c>
      <c r="AM184" s="82">
        <v>0</v>
      </c>
      <c r="AN184" s="87" t="s">
        <v>957</v>
      </c>
      <c r="AO184" s="87" t="s">
        <v>305</v>
      </c>
      <c r="AP184" s="82" t="b">
        <v>0</v>
      </c>
      <c r="AQ184" s="87" t="s">
        <v>861</v>
      </c>
      <c r="AR184" s="82" t="s">
        <v>211</v>
      </c>
      <c r="AS184" s="82">
        <v>0</v>
      </c>
      <c r="AT184" s="82">
        <v>0</v>
      </c>
      <c r="AU184" s="82"/>
      <c r="AV184" s="82"/>
      <c r="AW184" s="82"/>
      <c r="AX184" s="82"/>
      <c r="AY184" s="82"/>
      <c r="AZ184" s="82"/>
      <c r="BA184" s="82"/>
      <c r="BB184" s="82"/>
      <c r="BC184">
        <v>142</v>
      </c>
      <c r="BD184" s="81" t="str">
        <f>REPLACE(INDEX(GroupVertices[Group],MATCH(Edges[[#This Row],[Vertex 1]],GroupVertices[Vertex],0)),1,1,"")</f>
        <v>2</v>
      </c>
      <c r="BE184" s="81" t="str">
        <f>REPLACE(INDEX(GroupVertices[Group],MATCH(Edges[[#This Row],[Vertex 2]],GroupVertices[Vertex],0)),1,1,"")</f>
        <v>2</v>
      </c>
      <c r="BF184" s="49">
        <v>0</v>
      </c>
      <c r="BG184" s="50">
        <v>0</v>
      </c>
      <c r="BH184" s="49">
        <v>0</v>
      </c>
      <c r="BI184" s="50">
        <v>0</v>
      </c>
      <c r="BJ184" s="49">
        <v>0</v>
      </c>
      <c r="BK184" s="50">
        <v>0</v>
      </c>
      <c r="BL184" s="49">
        <v>23</v>
      </c>
      <c r="BM184" s="50">
        <v>100</v>
      </c>
      <c r="BN184" s="49">
        <v>23</v>
      </c>
    </row>
    <row r="185" spans="1:66" ht="15">
      <c r="A185" s="66" t="s">
        <v>305</v>
      </c>
      <c r="B185" s="66" t="s">
        <v>305</v>
      </c>
      <c r="C185" s="67" t="s">
        <v>2140</v>
      </c>
      <c r="D185" s="68">
        <v>3</v>
      </c>
      <c r="E185" s="69" t="s">
        <v>136</v>
      </c>
      <c r="F185" s="70">
        <v>6</v>
      </c>
      <c r="G185" s="67"/>
      <c r="H185" s="71"/>
      <c r="I185" s="72"/>
      <c r="J185" s="72"/>
      <c r="K185" s="35" t="s">
        <v>65</v>
      </c>
      <c r="L185" s="80">
        <v>185</v>
      </c>
      <c r="M185" s="80"/>
      <c r="N185" s="74"/>
      <c r="O185" s="82" t="s">
        <v>211</v>
      </c>
      <c r="P185" s="84">
        <v>44727.150405092594</v>
      </c>
      <c r="Q185" s="82" t="s">
        <v>443</v>
      </c>
      <c r="R185" s="82"/>
      <c r="S185" s="82"/>
      <c r="T185" s="82"/>
      <c r="U185" s="82"/>
      <c r="V185" s="85" t="str">
        <f>HYPERLINK("https://pbs.twimg.com/profile_images/825717962481029123/h6cXfTnb_normal.jpg")</f>
        <v>https://pbs.twimg.com/profile_images/825717962481029123/h6cXfTnb_normal.jpg</v>
      </c>
      <c r="W185" s="84">
        <v>44727.150405092594</v>
      </c>
      <c r="X185" s="89">
        <v>44727</v>
      </c>
      <c r="Y185" s="87" t="s">
        <v>655</v>
      </c>
      <c r="Z185" s="85" t="str">
        <f>HYPERLINK("https://twitter.com/chombotofficial/status/1536915544946909184")</f>
        <v>https://twitter.com/chombotofficial/status/1536915544946909184</v>
      </c>
      <c r="AA185" s="82"/>
      <c r="AB185" s="82"/>
      <c r="AC185" s="87" t="s">
        <v>862</v>
      </c>
      <c r="AD185" s="82"/>
      <c r="AE185" s="82" t="b">
        <v>0</v>
      </c>
      <c r="AF185" s="82">
        <v>0</v>
      </c>
      <c r="AG185" s="87" t="s">
        <v>957</v>
      </c>
      <c r="AH185" s="82" t="b">
        <v>0</v>
      </c>
      <c r="AI185" s="82" t="s">
        <v>973</v>
      </c>
      <c r="AJ185" s="82"/>
      <c r="AK185" s="87" t="s">
        <v>957</v>
      </c>
      <c r="AL185" s="82" t="b">
        <v>0</v>
      </c>
      <c r="AM185" s="82">
        <v>0</v>
      </c>
      <c r="AN185" s="87" t="s">
        <v>957</v>
      </c>
      <c r="AO185" s="87" t="s">
        <v>305</v>
      </c>
      <c r="AP185" s="82" t="b">
        <v>0</v>
      </c>
      <c r="AQ185" s="87" t="s">
        <v>862</v>
      </c>
      <c r="AR185" s="82" t="s">
        <v>211</v>
      </c>
      <c r="AS185" s="82">
        <v>0</v>
      </c>
      <c r="AT185" s="82">
        <v>0</v>
      </c>
      <c r="AU185" s="82"/>
      <c r="AV185" s="82"/>
      <c r="AW185" s="82"/>
      <c r="AX185" s="82"/>
      <c r="AY185" s="82"/>
      <c r="AZ185" s="82"/>
      <c r="BA185" s="82"/>
      <c r="BB185" s="82"/>
      <c r="BC185">
        <v>142</v>
      </c>
      <c r="BD185" s="81" t="str">
        <f>REPLACE(INDEX(GroupVertices[Group],MATCH(Edges[[#This Row],[Vertex 1]],GroupVertices[Vertex],0)),1,1,"")</f>
        <v>2</v>
      </c>
      <c r="BE185" s="81" t="str">
        <f>REPLACE(INDEX(GroupVertices[Group],MATCH(Edges[[#This Row],[Vertex 2]],GroupVertices[Vertex],0)),1,1,"")</f>
        <v>2</v>
      </c>
      <c r="BF185" s="49">
        <v>0</v>
      </c>
      <c r="BG185" s="50">
        <v>0</v>
      </c>
      <c r="BH185" s="49">
        <v>0</v>
      </c>
      <c r="BI185" s="50">
        <v>0</v>
      </c>
      <c r="BJ185" s="49">
        <v>0</v>
      </c>
      <c r="BK185" s="50">
        <v>0</v>
      </c>
      <c r="BL185" s="49">
        <v>14</v>
      </c>
      <c r="BM185" s="50">
        <v>100</v>
      </c>
      <c r="BN185" s="49">
        <v>14</v>
      </c>
    </row>
    <row r="186" spans="1:66" ht="15">
      <c r="A186" s="66" t="s">
        <v>305</v>
      </c>
      <c r="B186" s="66" t="s">
        <v>305</v>
      </c>
      <c r="C186" s="67" t="s">
        <v>2140</v>
      </c>
      <c r="D186" s="68">
        <v>3</v>
      </c>
      <c r="E186" s="69" t="s">
        <v>136</v>
      </c>
      <c r="F186" s="70">
        <v>6</v>
      </c>
      <c r="G186" s="67"/>
      <c r="H186" s="71"/>
      <c r="I186" s="72"/>
      <c r="J186" s="72"/>
      <c r="K186" s="35" t="s">
        <v>65</v>
      </c>
      <c r="L186" s="80">
        <v>186</v>
      </c>
      <c r="M186" s="80"/>
      <c r="N186" s="74"/>
      <c r="O186" s="82" t="s">
        <v>211</v>
      </c>
      <c r="P186" s="84">
        <v>44727.26498842592</v>
      </c>
      <c r="Q186" s="82" t="s">
        <v>444</v>
      </c>
      <c r="R186" s="82"/>
      <c r="S186" s="82"/>
      <c r="T186" s="82"/>
      <c r="U186" s="82"/>
      <c r="V186" s="85" t="str">
        <f>HYPERLINK("https://pbs.twimg.com/profile_images/825717962481029123/h6cXfTnb_normal.jpg")</f>
        <v>https://pbs.twimg.com/profile_images/825717962481029123/h6cXfTnb_normal.jpg</v>
      </c>
      <c r="W186" s="84">
        <v>44727.26498842592</v>
      </c>
      <c r="X186" s="89">
        <v>44727</v>
      </c>
      <c r="Y186" s="87" t="s">
        <v>669</v>
      </c>
      <c r="Z186" s="85" t="str">
        <f>HYPERLINK("https://twitter.com/chombotofficial/status/1536957071329042432")</f>
        <v>https://twitter.com/chombotofficial/status/1536957071329042432</v>
      </c>
      <c r="AA186" s="82"/>
      <c r="AB186" s="82"/>
      <c r="AC186" s="87" t="s">
        <v>863</v>
      </c>
      <c r="AD186" s="82"/>
      <c r="AE186" s="82" t="b">
        <v>0</v>
      </c>
      <c r="AF186" s="82">
        <v>0</v>
      </c>
      <c r="AG186" s="87" t="s">
        <v>957</v>
      </c>
      <c r="AH186" s="82" t="b">
        <v>0</v>
      </c>
      <c r="AI186" s="82" t="s">
        <v>973</v>
      </c>
      <c r="AJ186" s="82"/>
      <c r="AK186" s="87" t="s">
        <v>957</v>
      </c>
      <c r="AL186" s="82" t="b">
        <v>0</v>
      </c>
      <c r="AM186" s="82">
        <v>0</v>
      </c>
      <c r="AN186" s="87" t="s">
        <v>957</v>
      </c>
      <c r="AO186" s="87" t="s">
        <v>305</v>
      </c>
      <c r="AP186" s="82" t="b">
        <v>0</v>
      </c>
      <c r="AQ186" s="87" t="s">
        <v>863</v>
      </c>
      <c r="AR186" s="82" t="s">
        <v>211</v>
      </c>
      <c r="AS186" s="82">
        <v>0</v>
      </c>
      <c r="AT186" s="82">
        <v>0</v>
      </c>
      <c r="AU186" s="82"/>
      <c r="AV186" s="82"/>
      <c r="AW186" s="82"/>
      <c r="AX186" s="82"/>
      <c r="AY186" s="82"/>
      <c r="AZ186" s="82"/>
      <c r="BA186" s="82"/>
      <c r="BB186" s="82"/>
      <c r="BC186">
        <v>142</v>
      </c>
      <c r="BD186" s="81" t="str">
        <f>REPLACE(INDEX(GroupVertices[Group],MATCH(Edges[[#This Row],[Vertex 1]],GroupVertices[Vertex],0)),1,1,"")</f>
        <v>2</v>
      </c>
      <c r="BE186" s="81" t="str">
        <f>REPLACE(INDEX(GroupVertices[Group],MATCH(Edges[[#This Row],[Vertex 2]],GroupVertices[Vertex],0)),1,1,"")</f>
        <v>2</v>
      </c>
      <c r="BF186" s="49">
        <v>0</v>
      </c>
      <c r="BG186" s="50">
        <v>0</v>
      </c>
      <c r="BH186" s="49">
        <v>1</v>
      </c>
      <c r="BI186" s="50">
        <v>4.3478260869565215</v>
      </c>
      <c r="BJ186" s="49">
        <v>0</v>
      </c>
      <c r="BK186" s="50">
        <v>0</v>
      </c>
      <c r="BL186" s="49">
        <v>22</v>
      </c>
      <c r="BM186" s="50">
        <v>95.65217391304348</v>
      </c>
      <c r="BN186" s="49">
        <v>23</v>
      </c>
    </row>
    <row r="187" spans="1:66" ht="15">
      <c r="A187" s="66" t="s">
        <v>305</v>
      </c>
      <c r="B187" s="66" t="s">
        <v>305</v>
      </c>
      <c r="C187" s="67" t="s">
        <v>2140</v>
      </c>
      <c r="D187" s="68">
        <v>3</v>
      </c>
      <c r="E187" s="69" t="s">
        <v>136</v>
      </c>
      <c r="F187" s="70">
        <v>6</v>
      </c>
      <c r="G187" s="67"/>
      <c r="H187" s="71"/>
      <c r="I187" s="72"/>
      <c r="J187" s="72"/>
      <c r="K187" s="35" t="s">
        <v>65</v>
      </c>
      <c r="L187" s="80">
        <v>187</v>
      </c>
      <c r="M187" s="80"/>
      <c r="N187" s="74"/>
      <c r="O187" s="82" t="s">
        <v>211</v>
      </c>
      <c r="P187" s="84">
        <v>44727.292766203704</v>
      </c>
      <c r="Q187" s="82" t="s">
        <v>445</v>
      </c>
      <c r="R187" s="82"/>
      <c r="S187" s="82"/>
      <c r="T187" s="82"/>
      <c r="U187" s="82"/>
      <c r="V187" s="85" t="str">
        <f>HYPERLINK("https://pbs.twimg.com/profile_images/825717962481029123/h6cXfTnb_normal.jpg")</f>
        <v>https://pbs.twimg.com/profile_images/825717962481029123/h6cXfTnb_normal.jpg</v>
      </c>
      <c r="W187" s="84">
        <v>44727.292766203704</v>
      </c>
      <c r="X187" s="89">
        <v>44727</v>
      </c>
      <c r="Y187" s="87" t="s">
        <v>670</v>
      </c>
      <c r="Z187" s="85" t="str">
        <f>HYPERLINK("https://twitter.com/chombotofficial/status/1536967135129485313")</f>
        <v>https://twitter.com/chombotofficial/status/1536967135129485313</v>
      </c>
      <c r="AA187" s="82"/>
      <c r="AB187" s="82"/>
      <c r="AC187" s="87" t="s">
        <v>864</v>
      </c>
      <c r="AD187" s="82"/>
      <c r="AE187" s="82" t="b">
        <v>0</v>
      </c>
      <c r="AF187" s="82">
        <v>0</v>
      </c>
      <c r="AG187" s="87" t="s">
        <v>957</v>
      </c>
      <c r="AH187" s="82" t="b">
        <v>0</v>
      </c>
      <c r="AI187" s="82" t="s">
        <v>973</v>
      </c>
      <c r="AJ187" s="82"/>
      <c r="AK187" s="87" t="s">
        <v>957</v>
      </c>
      <c r="AL187" s="82" t="b">
        <v>0</v>
      </c>
      <c r="AM187" s="82">
        <v>0</v>
      </c>
      <c r="AN187" s="87" t="s">
        <v>957</v>
      </c>
      <c r="AO187" s="87" t="s">
        <v>305</v>
      </c>
      <c r="AP187" s="82" t="b">
        <v>0</v>
      </c>
      <c r="AQ187" s="87" t="s">
        <v>864</v>
      </c>
      <c r="AR187" s="82" t="s">
        <v>211</v>
      </c>
      <c r="AS187" s="82">
        <v>0</v>
      </c>
      <c r="AT187" s="82">
        <v>0</v>
      </c>
      <c r="AU187" s="82"/>
      <c r="AV187" s="82"/>
      <c r="AW187" s="82"/>
      <c r="AX187" s="82"/>
      <c r="AY187" s="82"/>
      <c r="AZ187" s="82"/>
      <c r="BA187" s="82"/>
      <c r="BB187" s="82"/>
      <c r="BC187">
        <v>142</v>
      </c>
      <c r="BD187" s="81" t="str">
        <f>REPLACE(INDEX(GroupVertices[Group],MATCH(Edges[[#This Row],[Vertex 1]],GroupVertices[Vertex],0)),1,1,"")</f>
        <v>2</v>
      </c>
      <c r="BE187" s="81" t="str">
        <f>REPLACE(INDEX(GroupVertices[Group],MATCH(Edges[[#This Row],[Vertex 2]],GroupVertices[Vertex],0)),1,1,"")</f>
        <v>2</v>
      </c>
      <c r="BF187" s="49">
        <v>0</v>
      </c>
      <c r="BG187" s="50">
        <v>0</v>
      </c>
      <c r="BH187" s="49">
        <v>2</v>
      </c>
      <c r="BI187" s="50">
        <v>8.695652173913043</v>
      </c>
      <c r="BJ187" s="49">
        <v>0</v>
      </c>
      <c r="BK187" s="50">
        <v>0</v>
      </c>
      <c r="BL187" s="49">
        <v>21</v>
      </c>
      <c r="BM187" s="50">
        <v>91.30434782608695</v>
      </c>
      <c r="BN187" s="49">
        <v>23</v>
      </c>
    </row>
    <row r="188" spans="1:66" ht="15">
      <c r="A188" s="66" t="s">
        <v>305</v>
      </c>
      <c r="B188" s="66" t="s">
        <v>305</v>
      </c>
      <c r="C188" s="67" t="s">
        <v>2140</v>
      </c>
      <c r="D188" s="68">
        <v>3</v>
      </c>
      <c r="E188" s="69" t="s">
        <v>136</v>
      </c>
      <c r="F188" s="70">
        <v>6</v>
      </c>
      <c r="G188" s="67"/>
      <c r="H188" s="71"/>
      <c r="I188" s="72"/>
      <c r="J188" s="72"/>
      <c r="K188" s="35" t="s">
        <v>65</v>
      </c>
      <c r="L188" s="80">
        <v>188</v>
      </c>
      <c r="M188" s="80"/>
      <c r="N188" s="74"/>
      <c r="O188" s="82" t="s">
        <v>211</v>
      </c>
      <c r="P188" s="84">
        <v>44727.320543981485</v>
      </c>
      <c r="Q188" s="82" t="s">
        <v>446</v>
      </c>
      <c r="R188" s="82"/>
      <c r="S188" s="82"/>
      <c r="T188" s="82"/>
      <c r="U188" s="82"/>
      <c r="V188" s="85" t="str">
        <f>HYPERLINK("https://pbs.twimg.com/profile_images/825717962481029123/h6cXfTnb_normal.jpg")</f>
        <v>https://pbs.twimg.com/profile_images/825717962481029123/h6cXfTnb_normal.jpg</v>
      </c>
      <c r="W188" s="84">
        <v>44727.320543981485</v>
      </c>
      <c r="X188" s="89">
        <v>44727</v>
      </c>
      <c r="Y188" s="87" t="s">
        <v>671</v>
      </c>
      <c r="Z188" s="85" t="str">
        <f>HYPERLINK("https://twitter.com/chombotofficial/status/1536977203124109312")</f>
        <v>https://twitter.com/chombotofficial/status/1536977203124109312</v>
      </c>
      <c r="AA188" s="82"/>
      <c r="AB188" s="82"/>
      <c r="AC188" s="87" t="s">
        <v>865</v>
      </c>
      <c r="AD188" s="82"/>
      <c r="AE188" s="82" t="b">
        <v>0</v>
      </c>
      <c r="AF188" s="82">
        <v>0</v>
      </c>
      <c r="AG188" s="87" t="s">
        <v>957</v>
      </c>
      <c r="AH188" s="82" t="b">
        <v>0</v>
      </c>
      <c r="AI188" s="82" t="s">
        <v>973</v>
      </c>
      <c r="AJ188" s="82"/>
      <c r="AK188" s="87" t="s">
        <v>957</v>
      </c>
      <c r="AL188" s="82" t="b">
        <v>0</v>
      </c>
      <c r="AM188" s="82">
        <v>0</v>
      </c>
      <c r="AN188" s="87" t="s">
        <v>957</v>
      </c>
      <c r="AO188" s="87" t="s">
        <v>305</v>
      </c>
      <c r="AP188" s="82" t="b">
        <v>0</v>
      </c>
      <c r="AQ188" s="87" t="s">
        <v>865</v>
      </c>
      <c r="AR188" s="82" t="s">
        <v>211</v>
      </c>
      <c r="AS188" s="82">
        <v>0</v>
      </c>
      <c r="AT188" s="82">
        <v>0</v>
      </c>
      <c r="AU188" s="82"/>
      <c r="AV188" s="82"/>
      <c r="AW188" s="82"/>
      <c r="AX188" s="82"/>
      <c r="AY188" s="82"/>
      <c r="AZ188" s="82"/>
      <c r="BA188" s="82"/>
      <c r="BB188" s="82"/>
      <c r="BC188">
        <v>142</v>
      </c>
      <c r="BD188" s="81" t="str">
        <f>REPLACE(INDEX(GroupVertices[Group],MATCH(Edges[[#This Row],[Vertex 1]],GroupVertices[Vertex],0)),1,1,"")</f>
        <v>2</v>
      </c>
      <c r="BE188" s="81" t="str">
        <f>REPLACE(INDEX(GroupVertices[Group],MATCH(Edges[[#This Row],[Vertex 2]],GroupVertices[Vertex],0)),1,1,"")</f>
        <v>2</v>
      </c>
      <c r="BF188" s="49">
        <v>0</v>
      </c>
      <c r="BG188" s="50">
        <v>0</v>
      </c>
      <c r="BH188" s="49">
        <v>1</v>
      </c>
      <c r="BI188" s="50">
        <v>6.666666666666667</v>
      </c>
      <c r="BJ188" s="49">
        <v>0</v>
      </c>
      <c r="BK188" s="50">
        <v>0</v>
      </c>
      <c r="BL188" s="49">
        <v>14</v>
      </c>
      <c r="BM188" s="50">
        <v>93.33333333333333</v>
      </c>
      <c r="BN188" s="49">
        <v>15</v>
      </c>
    </row>
    <row r="189" spans="1:66" ht="15">
      <c r="A189" s="66" t="s">
        <v>305</v>
      </c>
      <c r="B189" s="66" t="s">
        <v>305</v>
      </c>
      <c r="C189" s="67" t="s">
        <v>2140</v>
      </c>
      <c r="D189" s="68">
        <v>3</v>
      </c>
      <c r="E189" s="69" t="s">
        <v>136</v>
      </c>
      <c r="F189" s="70">
        <v>6</v>
      </c>
      <c r="G189" s="67"/>
      <c r="H189" s="71"/>
      <c r="I189" s="72"/>
      <c r="J189" s="72"/>
      <c r="K189" s="35" t="s">
        <v>65</v>
      </c>
      <c r="L189" s="80">
        <v>189</v>
      </c>
      <c r="M189" s="80"/>
      <c r="N189" s="74"/>
      <c r="O189" s="82" t="s">
        <v>211</v>
      </c>
      <c r="P189" s="84">
        <v>44727.37262731481</v>
      </c>
      <c r="Q189" s="82" t="s">
        <v>447</v>
      </c>
      <c r="R189" s="82"/>
      <c r="S189" s="82"/>
      <c r="T189" s="82"/>
      <c r="U189" s="82"/>
      <c r="V189" s="85" t="str">
        <f>HYPERLINK("https://pbs.twimg.com/profile_images/825717962481029123/h6cXfTnb_normal.jpg")</f>
        <v>https://pbs.twimg.com/profile_images/825717962481029123/h6cXfTnb_normal.jpg</v>
      </c>
      <c r="W189" s="84">
        <v>44727.37262731481</v>
      </c>
      <c r="X189" s="89">
        <v>44727</v>
      </c>
      <c r="Y189" s="87" t="s">
        <v>672</v>
      </c>
      <c r="Z189" s="85" t="str">
        <f>HYPERLINK("https://twitter.com/chombotofficial/status/1536996075697053697")</f>
        <v>https://twitter.com/chombotofficial/status/1536996075697053697</v>
      </c>
      <c r="AA189" s="82"/>
      <c r="AB189" s="82"/>
      <c r="AC189" s="87" t="s">
        <v>866</v>
      </c>
      <c r="AD189" s="82"/>
      <c r="AE189" s="82" t="b">
        <v>0</v>
      </c>
      <c r="AF189" s="82">
        <v>0</v>
      </c>
      <c r="AG189" s="87" t="s">
        <v>957</v>
      </c>
      <c r="AH189" s="82" t="b">
        <v>0</v>
      </c>
      <c r="AI189" s="82" t="s">
        <v>973</v>
      </c>
      <c r="AJ189" s="82"/>
      <c r="AK189" s="87" t="s">
        <v>957</v>
      </c>
      <c r="AL189" s="82" t="b">
        <v>0</v>
      </c>
      <c r="AM189" s="82">
        <v>0</v>
      </c>
      <c r="AN189" s="87" t="s">
        <v>957</v>
      </c>
      <c r="AO189" s="87" t="s">
        <v>305</v>
      </c>
      <c r="AP189" s="82" t="b">
        <v>0</v>
      </c>
      <c r="AQ189" s="87" t="s">
        <v>866</v>
      </c>
      <c r="AR189" s="82" t="s">
        <v>211</v>
      </c>
      <c r="AS189" s="82">
        <v>0</v>
      </c>
      <c r="AT189" s="82">
        <v>0</v>
      </c>
      <c r="AU189" s="82"/>
      <c r="AV189" s="82"/>
      <c r="AW189" s="82"/>
      <c r="AX189" s="82"/>
      <c r="AY189" s="82"/>
      <c r="AZ189" s="82"/>
      <c r="BA189" s="82"/>
      <c r="BB189" s="82"/>
      <c r="BC189">
        <v>142</v>
      </c>
      <c r="BD189" s="81" t="str">
        <f>REPLACE(INDEX(GroupVertices[Group],MATCH(Edges[[#This Row],[Vertex 1]],GroupVertices[Vertex],0)),1,1,"")</f>
        <v>2</v>
      </c>
      <c r="BE189" s="81" t="str">
        <f>REPLACE(INDEX(GroupVertices[Group],MATCH(Edges[[#This Row],[Vertex 2]],GroupVertices[Vertex],0)),1,1,"")</f>
        <v>2</v>
      </c>
      <c r="BF189" s="49">
        <v>0</v>
      </c>
      <c r="BG189" s="50">
        <v>0</v>
      </c>
      <c r="BH189" s="49">
        <v>1</v>
      </c>
      <c r="BI189" s="50">
        <v>5</v>
      </c>
      <c r="BJ189" s="49">
        <v>0</v>
      </c>
      <c r="BK189" s="50">
        <v>0</v>
      </c>
      <c r="BL189" s="49">
        <v>19</v>
      </c>
      <c r="BM189" s="50">
        <v>95</v>
      </c>
      <c r="BN189" s="49">
        <v>20</v>
      </c>
    </row>
    <row r="190" spans="1:66" ht="15">
      <c r="A190" s="66" t="s">
        <v>305</v>
      </c>
      <c r="B190" s="66" t="s">
        <v>305</v>
      </c>
      <c r="C190" s="67" t="s">
        <v>2140</v>
      </c>
      <c r="D190" s="68">
        <v>3</v>
      </c>
      <c r="E190" s="69" t="s">
        <v>136</v>
      </c>
      <c r="F190" s="70">
        <v>6</v>
      </c>
      <c r="G190" s="67"/>
      <c r="H190" s="71"/>
      <c r="I190" s="72"/>
      <c r="J190" s="72"/>
      <c r="K190" s="35" t="s">
        <v>65</v>
      </c>
      <c r="L190" s="80">
        <v>190</v>
      </c>
      <c r="M190" s="80"/>
      <c r="N190" s="74"/>
      <c r="O190" s="82" t="s">
        <v>211</v>
      </c>
      <c r="P190" s="84">
        <v>44727.494155092594</v>
      </c>
      <c r="Q190" s="82" t="s">
        <v>448</v>
      </c>
      <c r="R190" s="82"/>
      <c r="S190" s="82"/>
      <c r="T190" s="82"/>
      <c r="U190" s="82"/>
      <c r="V190" s="85" t="str">
        <f>HYPERLINK("https://pbs.twimg.com/profile_images/825717962481029123/h6cXfTnb_normal.jpg")</f>
        <v>https://pbs.twimg.com/profile_images/825717962481029123/h6cXfTnb_normal.jpg</v>
      </c>
      <c r="W190" s="84">
        <v>44727.494155092594</v>
      </c>
      <c r="X190" s="89">
        <v>44727</v>
      </c>
      <c r="Y190" s="87" t="s">
        <v>673</v>
      </c>
      <c r="Z190" s="85" t="str">
        <f>HYPERLINK("https://twitter.com/chombotofficial/status/1537040115863900161")</f>
        <v>https://twitter.com/chombotofficial/status/1537040115863900161</v>
      </c>
      <c r="AA190" s="82"/>
      <c r="AB190" s="82"/>
      <c r="AC190" s="87" t="s">
        <v>867</v>
      </c>
      <c r="AD190" s="82"/>
      <c r="AE190" s="82" t="b">
        <v>0</v>
      </c>
      <c r="AF190" s="82">
        <v>0</v>
      </c>
      <c r="AG190" s="87" t="s">
        <v>957</v>
      </c>
      <c r="AH190" s="82" t="b">
        <v>0</v>
      </c>
      <c r="AI190" s="82" t="s">
        <v>973</v>
      </c>
      <c r="AJ190" s="82"/>
      <c r="AK190" s="87" t="s">
        <v>957</v>
      </c>
      <c r="AL190" s="82" t="b">
        <v>0</v>
      </c>
      <c r="AM190" s="82">
        <v>0</v>
      </c>
      <c r="AN190" s="87" t="s">
        <v>957</v>
      </c>
      <c r="AO190" s="87" t="s">
        <v>305</v>
      </c>
      <c r="AP190" s="82" t="b">
        <v>0</v>
      </c>
      <c r="AQ190" s="87" t="s">
        <v>867</v>
      </c>
      <c r="AR190" s="82" t="s">
        <v>211</v>
      </c>
      <c r="AS190" s="82">
        <v>0</v>
      </c>
      <c r="AT190" s="82">
        <v>0</v>
      </c>
      <c r="AU190" s="82"/>
      <c r="AV190" s="82"/>
      <c r="AW190" s="82"/>
      <c r="AX190" s="82"/>
      <c r="AY190" s="82"/>
      <c r="AZ190" s="82"/>
      <c r="BA190" s="82"/>
      <c r="BB190" s="82"/>
      <c r="BC190">
        <v>142</v>
      </c>
      <c r="BD190" s="81" t="str">
        <f>REPLACE(INDEX(GroupVertices[Group],MATCH(Edges[[#This Row],[Vertex 1]],GroupVertices[Vertex],0)),1,1,"")</f>
        <v>2</v>
      </c>
      <c r="BE190" s="81" t="str">
        <f>REPLACE(INDEX(GroupVertices[Group],MATCH(Edges[[#This Row],[Vertex 2]],GroupVertices[Vertex],0)),1,1,"")</f>
        <v>2</v>
      </c>
      <c r="BF190" s="49">
        <v>2</v>
      </c>
      <c r="BG190" s="50">
        <v>9.523809523809524</v>
      </c>
      <c r="BH190" s="49">
        <v>0</v>
      </c>
      <c r="BI190" s="50">
        <v>0</v>
      </c>
      <c r="BJ190" s="49">
        <v>0</v>
      </c>
      <c r="BK190" s="50">
        <v>0</v>
      </c>
      <c r="BL190" s="49">
        <v>19</v>
      </c>
      <c r="BM190" s="50">
        <v>90.47619047619048</v>
      </c>
      <c r="BN190" s="49">
        <v>21</v>
      </c>
    </row>
    <row r="191" spans="1:66" ht="15">
      <c r="A191" s="66" t="s">
        <v>305</v>
      </c>
      <c r="B191" s="66" t="s">
        <v>305</v>
      </c>
      <c r="C191" s="67" t="s">
        <v>2140</v>
      </c>
      <c r="D191" s="68">
        <v>3</v>
      </c>
      <c r="E191" s="69" t="s">
        <v>136</v>
      </c>
      <c r="F191" s="70">
        <v>6</v>
      </c>
      <c r="G191" s="67"/>
      <c r="H191" s="71"/>
      <c r="I191" s="72"/>
      <c r="J191" s="72"/>
      <c r="K191" s="35" t="s">
        <v>65</v>
      </c>
      <c r="L191" s="80">
        <v>191</v>
      </c>
      <c r="M191" s="80"/>
      <c r="N191" s="74"/>
      <c r="O191" s="82" t="s">
        <v>211</v>
      </c>
      <c r="P191" s="84">
        <v>44727.497615740744</v>
      </c>
      <c r="Q191" s="82" t="s">
        <v>449</v>
      </c>
      <c r="R191" s="82"/>
      <c r="S191" s="82"/>
      <c r="T191" s="82"/>
      <c r="U191" s="82"/>
      <c r="V191" s="85" t="str">
        <f>HYPERLINK("https://pbs.twimg.com/profile_images/825717962481029123/h6cXfTnb_normal.jpg")</f>
        <v>https://pbs.twimg.com/profile_images/825717962481029123/h6cXfTnb_normal.jpg</v>
      </c>
      <c r="W191" s="84">
        <v>44727.497615740744</v>
      </c>
      <c r="X191" s="89">
        <v>44727</v>
      </c>
      <c r="Y191" s="87" t="s">
        <v>674</v>
      </c>
      <c r="Z191" s="85" t="str">
        <f>HYPERLINK("https://twitter.com/chombotofficial/status/1537041373223866368")</f>
        <v>https://twitter.com/chombotofficial/status/1537041373223866368</v>
      </c>
      <c r="AA191" s="82"/>
      <c r="AB191" s="82"/>
      <c r="AC191" s="87" t="s">
        <v>868</v>
      </c>
      <c r="AD191" s="82"/>
      <c r="AE191" s="82" t="b">
        <v>0</v>
      </c>
      <c r="AF191" s="82">
        <v>0</v>
      </c>
      <c r="AG191" s="87" t="s">
        <v>957</v>
      </c>
      <c r="AH191" s="82" t="b">
        <v>0</v>
      </c>
      <c r="AI191" s="82" t="s">
        <v>973</v>
      </c>
      <c r="AJ191" s="82"/>
      <c r="AK191" s="87" t="s">
        <v>957</v>
      </c>
      <c r="AL191" s="82" t="b">
        <v>0</v>
      </c>
      <c r="AM191" s="82">
        <v>0</v>
      </c>
      <c r="AN191" s="87" t="s">
        <v>957</v>
      </c>
      <c r="AO191" s="87" t="s">
        <v>305</v>
      </c>
      <c r="AP191" s="82" t="b">
        <v>0</v>
      </c>
      <c r="AQ191" s="87" t="s">
        <v>868</v>
      </c>
      <c r="AR191" s="82" t="s">
        <v>211</v>
      </c>
      <c r="AS191" s="82">
        <v>0</v>
      </c>
      <c r="AT191" s="82">
        <v>0</v>
      </c>
      <c r="AU191" s="82"/>
      <c r="AV191" s="82"/>
      <c r="AW191" s="82"/>
      <c r="AX191" s="82"/>
      <c r="AY191" s="82"/>
      <c r="AZ191" s="82"/>
      <c r="BA191" s="82"/>
      <c r="BB191" s="82"/>
      <c r="BC191">
        <v>142</v>
      </c>
      <c r="BD191" s="81" t="str">
        <f>REPLACE(INDEX(GroupVertices[Group],MATCH(Edges[[#This Row],[Vertex 1]],GroupVertices[Vertex],0)),1,1,"")</f>
        <v>2</v>
      </c>
      <c r="BE191" s="81" t="str">
        <f>REPLACE(INDEX(GroupVertices[Group],MATCH(Edges[[#This Row],[Vertex 2]],GroupVertices[Vertex],0)),1,1,"")</f>
        <v>2</v>
      </c>
      <c r="BF191" s="49">
        <v>0</v>
      </c>
      <c r="BG191" s="50">
        <v>0</v>
      </c>
      <c r="BH191" s="49">
        <v>1</v>
      </c>
      <c r="BI191" s="50">
        <v>10</v>
      </c>
      <c r="BJ191" s="49">
        <v>0</v>
      </c>
      <c r="BK191" s="50">
        <v>0</v>
      </c>
      <c r="BL191" s="49">
        <v>9</v>
      </c>
      <c r="BM191" s="50">
        <v>90</v>
      </c>
      <c r="BN191" s="49">
        <v>10</v>
      </c>
    </row>
    <row r="192" spans="1:66" ht="15">
      <c r="A192" s="66" t="s">
        <v>305</v>
      </c>
      <c r="B192" s="66" t="s">
        <v>305</v>
      </c>
      <c r="C192" s="67" t="s">
        <v>2140</v>
      </c>
      <c r="D192" s="68">
        <v>3</v>
      </c>
      <c r="E192" s="69" t="s">
        <v>136</v>
      </c>
      <c r="F192" s="70">
        <v>6</v>
      </c>
      <c r="G192" s="67"/>
      <c r="H192" s="71"/>
      <c r="I192" s="72"/>
      <c r="J192" s="72"/>
      <c r="K192" s="35" t="s">
        <v>65</v>
      </c>
      <c r="L192" s="80">
        <v>192</v>
      </c>
      <c r="M192" s="80"/>
      <c r="N192" s="74"/>
      <c r="O192" s="82" t="s">
        <v>211</v>
      </c>
      <c r="P192" s="84">
        <v>44727.511516203704</v>
      </c>
      <c r="Q192" s="82" t="s">
        <v>450</v>
      </c>
      <c r="R192" s="82"/>
      <c r="S192" s="82"/>
      <c r="T192" s="82"/>
      <c r="U192" s="82"/>
      <c r="V192" s="85" t="str">
        <f>HYPERLINK("https://pbs.twimg.com/profile_images/825717962481029123/h6cXfTnb_normal.jpg")</f>
        <v>https://pbs.twimg.com/profile_images/825717962481029123/h6cXfTnb_normal.jpg</v>
      </c>
      <c r="W192" s="84">
        <v>44727.511516203704</v>
      </c>
      <c r="X192" s="89">
        <v>44727</v>
      </c>
      <c r="Y192" s="87" t="s">
        <v>675</v>
      </c>
      <c r="Z192" s="85" t="str">
        <f>HYPERLINK("https://twitter.com/chombotofficial/status/1537046407131148288")</f>
        <v>https://twitter.com/chombotofficial/status/1537046407131148288</v>
      </c>
      <c r="AA192" s="82"/>
      <c r="AB192" s="82"/>
      <c r="AC192" s="87" t="s">
        <v>869</v>
      </c>
      <c r="AD192" s="82"/>
      <c r="AE192" s="82" t="b">
        <v>0</v>
      </c>
      <c r="AF192" s="82">
        <v>0</v>
      </c>
      <c r="AG192" s="87" t="s">
        <v>957</v>
      </c>
      <c r="AH192" s="82" t="b">
        <v>0</v>
      </c>
      <c r="AI192" s="82" t="s">
        <v>973</v>
      </c>
      <c r="AJ192" s="82"/>
      <c r="AK192" s="87" t="s">
        <v>957</v>
      </c>
      <c r="AL192" s="82" t="b">
        <v>0</v>
      </c>
      <c r="AM192" s="82">
        <v>0</v>
      </c>
      <c r="AN192" s="87" t="s">
        <v>957</v>
      </c>
      <c r="AO192" s="87" t="s">
        <v>305</v>
      </c>
      <c r="AP192" s="82" t="b">
        <v>0</v>
      </c>
      <c r="AQ192" s="87" t="s">
        <v>869</v>
      </c>
      <c r="AR192" s="82" t="s">
        <v>211</v>
      </c>
      <c r="AS192" s="82">
        <v>0</v>
      </c>
      <c r="AT192" s="82">
        <v>0</v>
      </c>
      <c r="AU192" s="82"/>
      <c r="AV192" s="82"/>
      <c r="AW192" s="82"/>
      <c r="AX192" s="82"/>
      <c r="AY192" s="82"/>
      <c r="AZ192" s="82"/>
      <c r="BA192" s="82"/>
      <c r="BB192" s="82"/>
      <c r="BC192">
        <v>142</v>
      </c>
      <c r="BD192" s="81" t="str">
        <f>REPLACE(INDEX(GroupVertices[Group],MATCH(Edges[[#This Row],[Vertex 1]],GroupVertices[Vertex],0)),1,1,"")</f>
        <v>2</v>
      </c>
      <c r="BE192" s="81" t="str">
        <f>REPLACE(INDEX(GroupVertices[Group],MATCH(Edges[[#This Row],[Vertex 2]],GroupVertices[Vertex],0)),1,1,"")</f>
        <v>2</v>
      </c>
      <c r="BF192" s="49">
        <v>0</v>
      </c>
      <c r="BG192" s="50">
        <v>0</v>
      </c>
      <c r="BH192" s="49">
        <v>0</v>
      </c>
      <c r="BI192" s="50">
        <v>0</v>
      </c>
      <c r="BJ192" s="49">
        <v>0</v>
      </c>
      <c r="BK192" s="50">
        <v>0</v>
      </c>
      <c r="BL192" s="49">
        <v>11</v>
      </c>
      <c r="BM192" s="50">
        <v>100</v>
      </c>
      <c r="BN192" s="49">
        <v>11</v>
      </c>
    </row>
    <row r="193" spans="1:66" ht="15">
      <c r="A193" s="66" t="s">
        <v>305</v>
      </c>
      <c r="B193" s="66" t="s">
        <v>305</v>
      </c>
      <c r="C193" s="67" t="s">
        <v>2140</v>
      </c>
      <c r="D193" s="68">
        <v>3</v>
      </c>
      <c r="E193" s="69" t="s">
        <v>136</v>
      </c>
      <c r="F193" s="70">
        <v>6</v>
      </c>
      <c r="G193" s="67"/>
      <c r="H193" s="71"/>
      <c r="I193" s="72"/>
      <c r="J193" s="72"/>
      <c r="K193" s="35" t="s">
        <v>65</v>
      </c>
      <c r="L193" s="80">
        <v>193</v>
      </c>
      <c r="M193" s="80"/>
      <c r="N193" s="74"/>
      <c r="O193" s="82" t="s">
        <v>211</v>
      </c>
      <c r="P193" s="84">
        <v>44727.51846064815</v>
      </c>
      <c r="Q193" s="82" t="s">
        <v>451</v>
      </c>
      <c r="R193" s="82"/>
      <c r="S193" s="82"/>
      <c r="T193" s="82"/>
      <c r="U193" s="82"/>
      <c r="V193" s="85" t="str">
        <f>HYPERLINK("https://pbs.twimg.com/profile_images/825717962481029123/h6cXfTnb_normal.jpg")</f>
        <v>https://pbs.twimg.com/profile_images/825717962481029123/h6cXfTnb_normal.jpg</v>
      </c>
      <c r="W193" s="84">
        <v>44727.51846064815</v>
      </c>
      <c r="X193" s="89">
        <v>44727</v>
      </c>
      <c r="Y193" s="87" t="s">
        <v>676</v>
      </c>
      <c r="Z193" s="85" t="str">
        <f>HYPERLINK("https://twitter.com/chombotofficial/status/1537048924275585025")</f>
        <v>https://twitter.com/chombotofficial/status/1537048924275585025</v>
      </c>
      <c r="AA193" s="82"/>
      <c r="AB193" s="82"/>
      <c r="AC193" s="87" t="s">
        <v>870</v>
      </c>
      <c r="AD193" s="82"/>
      <c r="AE193" s="82" t="b">
        <v>0</v>
      </c>
      <c r="AF193" s="82">
        <v>0</v>
      </c>
      <c r="AG193" s="87" t="s">
        <v>957</v>
      </c>
      <c r="AH193" s="82" t="b">
        <v>0</v>
      </c>
      <c r="AI193" s="82" t="s">
        <v>973</v>
      </c>
      <c r="AJ193" s="82"/>
      <c r="AK193" s="87" t="s">
        <v>957</v>
      </c>
      <c r="AL193" s="82" t="b">
        <v>0</v>
      </c>
      <c r="AM193" s="82">
        <v>0</v>
      </c>
      <c r="AN193" s="87" t="s">
        <v>957</v>
      </c>
      <c r="AO193" s="87" t="s">
        <v>305</v>
      </c>
      <c r="AP193" s="82" t="b">
        <v>0</v>
      </c>
      <c r="AQ193" s="87" t="s">
        <v>870</v>
      </c>
      <c r="AR193" s="82" t="s">
        <v>211</v>
      </c>
      <c r="AS193" s="82">
        <v>0</v>
      </c>
      <c r="AT193" s="82">
        <v>0</v>
      </c>
      <c r="AU193" s="82"/>
      <c r="AV193" s="82"/>
      <c r="AW193" s="82"/>
      <c r="AX193" s="82"/>
      <c r="AY193" s="82"/>
      <c r="AZ193" s="82"/>
      <c r="BA193" s="82"/>
      <c r="BB193" s="82"/>
      <c r="BC193">
        <v>142</v>
      </c>
      <c r="BD193" s="81" t="str">
        <f>REPLACE(INDEX(GroupVertices[Group],MATCH(Edges[[#This Row],[Vertex 1]],GroupVertices[Vertex],0)),1,1,"")</f>
        <v>2</v>
      </c>
      <c r="BE193" s="81" t="str">
        <f>REPLACE(INDEX(GroupVertices[Group],MATCH(Edges[[#This Row],[Vertex 2]],GroupVertices[Vertex],0)),1,1,"")</f>
        <v>2</v>
      </c>
      <c r="BF193" s="49">
        <v>0</v>
      </c>
      <c r="BG193" s="50">
        <v>0</v>
      </c>
      <c r="BH193" s="49">
        <v>0</v>
      </c>
      <c r="BI193" s="50">
        <v>0</v>
      </c>
      <c r="BJ193" s="49">
        <v>0</v>
      </c>
      <c r="BK193" s="50">
        <v>0</v>
      </c>
      <c r="BL193" s="49">
        <v>21</v>
      </c>
      <c r="BM193" s="50">
        <v>100</v>
      </c>
      <c r="BN193" s="49">
        <v>21</v>
      </c>
    </row>
    <row r="194" spans="1:66" ht="15">
      <c r="A194" s="66" t="s">
        <v>305</v>
      </c>
      <c r="B194" s="66" t="s">
        <v>305</v>
      </c>
      <c r="C194" s="67" t="s">
        <v>2140</v>
      </c>
      <c r="D194" s="68">
        <v>3</v>
      </c>
      <c r="E194" s="69" t="s">
        <v>136</v>
      </c>
      <c r="F194" s="70">
        <v>6</v>
      </c>
      <c r="G194" s="67"/>
      <c r="H194" s="71"/>
      <c r="I194" s="72"/>
      <c r="J194" s="72"/>
      <c r="K194" s="35" t="s">
        <v>65</v>
      </c>
      <c r="L194" s="80">
        <v>194</v>
      </c>
      <c r="M194" s="80"/>
      <c r="N194" s="74"/>
      <c r="O194" s="82" t="s">
        <v>211</v>
      </c>
      <c r="P194" s="84">
        <v>44727.54623842592</v>
      </c>
      <c r="Q194" s="82" t="s">
        <v>452</v>
      </c>
      <c r="R194" s="82"/>
      <c r="S194" s="82"/>
      <c r="T194" s="82"/>
      <c r="U194" s="82"/>
      <c r="V194" s="85" t="str">
        <f>HYPERLINK("https://pbs.twimg.com/profile_images/825717962481029123/h6cXfTnb_normal.jpg")</f>
        <v>https://pbs.twimg.com/profile_images/825717962481029123/h6cXfTnb_normal.jpg</v>
      </c>
      <c r="W194" s="84">
        <v>44727.54623842592</v>
      </c>
      <c r="X194" s="89">
        <v>44727</v>
      </c>
      <c r="Y194" s="87" t="s">
        <v>648</v>
      </c>
      <c r="Z194" s="85" t="str">
        <f>HYPERLINK("https://twitter.com/chombotofficial/status/1537058991523737601")</f>
        <v>https://twitter.com/chombotofficial/status/1537058991523737601</v>
      </c>
      <c r="AA194" s="82"/>
      <c r="AB194" s="82"/>
      <c r="AC194" s="87" t="s">
        <v>871</v>
      </c>
      <c r="AD194" s="82"/>
      <c r="AE194" s="82" t="b">
        <v>0</v>
      </c>
      <c r="AF194" s="82">
        <v>0</v>
      </c>
      <c r="AG194" s="87" t="s">
        <v>957</v>
      </c>
      <c r="AH194" s="82" t="b">
        <v>0</v>
      </c>
      <c r="AI194" s="82" t="s">
        <v>973</v>
      </c>
      <c r="AJ194" s="82"/>
      <c r="AK194" s="87" t="s">
        <v>957</v>
      </c>
      <c r="AL194" s="82" t="b">
        <v>0</v>
      </c>
      <c r="AM194" s="82">
        <v>0</v>
      </c>
      <c r="AN194" s="87" t="s">
        <v>957</v>
      </c>
      <c r="AO194" s="87" t="s">
        <v>305</v>
      </c>
      <c r="AP194" s="82" t="b">
        <v>0</v>
      </c>
      <c r="AQ194" s="87" t="s">
        <v>871</v>
      </c>
      <c r="AR194" s="82" t="s">
        <v>211</v>
      </c>
      <c r="AS194" s="82">
        <v>0</v>
      </c>
      <c r="AT194" s="82">
        <v>0</v>
      </c>
      <c r="AU194" s="82"/>
      <c r="AV194" s="82"/>
      <c r="AW194" s="82"/>
      <c r="AX194" s="82"/>
      <c r="AY194" s="82"/>
      <c r="AZ194" s="82"/>
      <c r="BA194" s="82"/>
      <c r="BB194" s="82"/>
      <c r="BC194">
        <v>142</v>
      </c>
      <c r="BD194" s="81" t="str">
        <f>REPLACE(INDEX(GroupVertices[Group],MATCH(Edges[[#This Row],[Vertex 1]],GroupVertices[Vertex],0)),1,1,"")</f>
        <v>2</v>
      </c>
      <c r="BE194" s="81" t="str">
        <f>REPLACE(INDEX(GroupVertices[Group],MATCH(Edges[[#This Row],[Vertex 2]],GroupVertices[Vertex],0)),1,1,"")</f>
        <v>2</v>
      </c>
      <c r="BF194" s="49">
        <v>0</v>
      </c>
      <c r="BG194" s="50">
        <v>0</v>
      </c>
      <c r="BH194" s="49">
        <v>2</v>
      </c>
      <c r="BI194" s="50">
        <v>11.764705882352942</v>
      </c>
      <c r="BJ194" s="49">
        <v>0</v>
      </c>
      <c r="BK194" s="50">
        <v>0</v>
      </c>
      <c r="BL194" s="49">
        <v>15</v>
      </c>
      <c r="BM194" s="50">
        <v>88.23529411764706</v>
      </c>
      <c r="BN194" s="49">
        <v>17</v>
      </c>
    </row>
    <row r="195" spans="1:66" ht="15">
      <c r="A195" s="66" t="s">
        <v>305</v>
      </c>
      <c r="B195" s="66" t="s">
        <v>305</v>
      </c>
      <c r="C195" s="67" t="s">
        <v>2140</v>
      </c>
      <c r="D195" s="68">
        <v>3</v>
      </c>
      <c r="E195" s="69" t="s">
        <v>136</v>
      </c>
      <c r="F195" s="70">
        <v>6</v>
      </c>
      <c r="G195" s="67"/>
      <c r="H195" s="71"/>
      <c r="I195" s="72"/>
      <c r="J195" s="72"/>
      <c r="K195" s="35" t="s">
        <v>65</v>
      </c>
      <c r="L195" s="80">
        <v>195</v>
      </c>
      <c r="M195" s="80"/>
      <c r="N195" s="74"/>
      <c r="O195" s="82" t="s">
        <v>211</v>
      </c>
      <c r="P195" s="84">
        <v>44727.744155092594</v>
      </c>
      <c r="Q195" s="82" t="s">
        <v>453</v>
      </c>
      <c r="R195" s="82"/>
      <c r="S195" s="82"/>
      <c r="T195" s="82"/>
      <c r="U195" s="82"/>
      <c r="V195" s="85" t="str">
        <f>HYPERLINK("https://pbs.twimg.com/profile_images/825717962481029123/h6cXfTnb_normal.jpg")</f>
        <v>https://pbs.twimg.com/profile_images/825717962481029123/h6cXfTnb_normal.jpg</v>
      </c>
      <c r="W195" s="84">
        <v>44727.744155092594</v>
      </c>
      <c r="X195" s="89">
        <v>44727</v>
      </c>
      <c r="Y195" s="87" t="s">
        <v>677</v>
      </c>
      <c r="Z195" s="85" t="str">
        <f>HYPERLINK("https://twitter.com/chombotofficial/status/1537130714549870593")</f>
        <v>https://twitter.com/chombotofficial/status/1537130714549870593</v>
      </c>
      <c r="AA195" s="82"/>
      <c r="AB195" s="82"/>
      <c r="AC195" s="87" t="s">
        <v>872</v>
      </c>
      <c r="AD195" s="82"/>
      <c r="AE195" s="82" t="b">
        <v>0</v>
      </c>
      <c r="AF195" s="82">
        <v>0</v>
      </c>
      <c r="AG195" s="87" t="s">
        <v>957</v>
      </c>
      <c r="AH195" s="82" t="b">
        <v>0</v>
      </c>
      <c r="AI195" s="82" t="s">
        <v>973</v>
      </c>
      <c r="AJ195" s="82"/>
      <c r="AK195" s="87" t="s">
        <v>957</v>
      </c>
      <c r="AL195" s="82" t="b">
        <v>0</v>
      </c>
      <c r="AM195" s="82">
        <v>0</v>
      </c>
      <c r="AN195" s="87" t="s">
        <v>957</v>
      </c>
      <c r="AO195" s="87" t="s">
        <v>305</v>
      </c>
      <c r="AP195" s="82" t="b">
        <v>0</v>
      </c>
      <c r="AQ195" s="87" t="s">
        <v>872</v>
      </c>
      <c r="AR195" s="82" t="s">
        <v>211</v>
      </c>
      <c r="AS195" s="82">
        <v>0</v>
      </c>
      <c r="AT195" s="82">
        <v>0</v>
      </c>
      <c r="AU195" s="82"/>
      <c r="AV195" s="82"/>
      <c r="AW195" s="82"/>
      <c r="AX195" s="82"/>
      <c r="AY195" s="82"/>
      <c r="AZ195" s="82"/>
      <c r="BA195" s="82"/>
      <c r="BB195" s="82"/>
      <c r="BC195">
        <v>142</v>
      </c>
      <c r="BD195" s="81" t="str">
        <f>REPLACE(INDEX(GroupVertices[Group],MATCH(Edges[[#This Row],[Vertex 1]],GroupVertices[Vertex],0)),1,1,"")</f>
        <v>2</v>
      </c>
      <c r="BE195" s="81" t="str">
        <f>REPLACE(INDEX(GroupVertices[Group],MATCH(Edges[[#This Row],[Vertex 2]],GroupVertices[Vertex],0)),1,1,"")</f>
        <v>2</v>
      </c>
      <c r="BF195" s="49">
        <v>0</v>
      </c>
      <c r="BG195" s="50">
        <v>0</v>
      </c>
      <c r="BH195" s="49">
        <v>0</v>
      </c>
      <c r="BI195" s="50">
        <v>0</v>
      </c>
      <c r="BJ195" s="49">
        <v>0</v>
      </c>
      <c r="BK195" s="50">
        <v>0</v>
      </c>
      <c r="BL195" s="49">
        <v>19</v>
      </c>
      <c r="BM195" s="50">
        <v>100</v>
      </c>
      <c r="BN195" s="49">
        <v>19</v>
      </c>
    </row>
    <row r="196" spans="1:66" ht="15">
      <c r="A196" s="66" t="s">
        <v>305</v>
      </c>
      <c r="B196" s="66" t="s">
        <v>305</v>
      </c>
      <c r="C196" s="67" t="s">
        <v>2140</v>
      </c>
      <c r="D196" s="68">
        <v>3</v>
      </c>
      <c r="E196" s="69" t="s">
        <v>136</v>
      </c>
      <c r="F196" s="70">
        <v>6</v>
      </c>
      <c r="G196" s="67"/>
      <c r="H196" s="71"/>
      <c r="I196" s="72"/>
      <c r="J196" s="72"/>
      <c r="K196" s="35" t="s">
        <v>65</v>
      </c>
      <c r="L196" s="80">
        <v>196</v>
      </c>
      <c r="M196" s="80"/>
      <c r="N196" s="74"/>
      <c r="O196" s="82" t="s">
        <v>211</v>
      </c>
      <c r="P196" s="84">
        <v>44727.820543981485</v>
      </c>
      <c r="Q196" s="82" t="s">
        <v>454</v>
      </c>
      <c r="R196" s="82"/>
      <c r="S196" s="82"/>
      <c r="T196" s="82"/>
      <c r="U196" s="82"/>
      <c r="V196" s="85" t="str">
        <f>HYPERLINK("https://pbs.twimg.com/profile_images/825717962481029123/h6cXfTnb_normal.jpg")</f>
        <v>https://pbs.twimg.com/profile_images/825717962481029123/h6cXfTnb_normal.jpg</v>
      </c>
      <c r="W196" s="84">
        <v>44727.820543981485</v>
      </c>
      <c r="X196" s="89">
        <v>44727</v>
      </c>
      <c r="Y196" s="87" t="s">
        <v>678</v>
      </c>
      <c r="Z196" s="85" t="str">
        <f>HYPERLINK("https://twitter.com/chombotofficial/status/1537158396364865536")</f>
        <v>https://twitter.com/chombotofficial/status/1537158396364865536</v>
      </c>
      <c r="AA196" s="82"/>
      <c r="AB196" s="82"/>
      <c r="AC196" s="87" t="s">
        <v>873</v>
      </c>
      <c r="AD196" s="82"/>
      <c r="AE196" s="82" t="b">
        <v>0</v>
      </c>
      <c r="AF196" s="82">
        <v>0</v>
      </c>
      <c r="AG196" s="87" t="s">
        <v>957</v>
      </c>
      <c r="AH196" s="82" t="b">
        <v>0</v>
      </c>
      <c r="AI196" s="82" t="s">
        <v>973</v>
      </c>
      <c r="AJ196" s="82"/>
      <c r="AK196" s="87" t="s">
        <v>957</v>
      </c>
      <c r="AL196" s="82" t="b">
        <v>0</v>
      </c>
      <c r="AM196" s="82">
        <v>0</v>
      </c>
      <c r="AN196" s="87" t="s">
        <v>957</v>
      </c>
      <c r="AO196" s="87" t="s">
        <v>305</v>
      </c>
      <c r="AP196" s="82" t="b">
        <v>0</v>
      </c>
      <c r="AQ196" s="87" t="s">
        <v>873</v>
      </c>
      <c r="AR196" s="82" t="s">
        <v>211</v>
      </c>
      <c r="AS196" s="82">
        <v>0</v>
      </c>
      <c r="AT196" s="82">
        <v>0</v>
      </c>
      <c r="AU196" s="82"/>
      <c r="AV196" s="82"/>
      <c r="AW196" s="82"/>
      <c r="AX196" s="82"/>
      <c r="AY196" s="82"/>
      <c r="AZ196" s="82"/>
      <c r="BA196" s="82"/>
      <c r="BB196" s="82"/>
      <c r="BC196">
        <v>142</v>
      </c>
      <c r="BD196" s="81" t="str">
        <f>REPLACE(INDEX(GroupVertices[Group],MATCH(Edges[[#This Row],[Vertex 1]],GroupVertices[Vertex],0)),1,1,"")</f>
        <v>2</v>
      </c>
      <c r="BE196" s="81" t="str">
        <f>REPLACE(INDEX(GroupVertices[Group],MATCH(Edges[[#This Row],[Vertex 2]],GroupVertices[Vertex],0)),1,1,"")</f>
        <v>2</v>
      </c>
      <c r="BF196" s="49">
        <v>0</v>
      </c>
      <c r="BG196" s="50">
        <v>0</v>
      </c>
      <c r="BH196" s="49">
        <v>2</v>
      </c>
      <c r="BI196" s="50">
        <v>12.5</v>
      </c>
      <c r="BJ196" s="49">
        <v>0</v>
      </c>
      <c r="BK196" s="50">
        <v>0</v>
      </c>
      <c r="BL196" s="49">
        <v>14</v>
      </c>
      <c r="BM196" s="50">
        <v>87.5</v>
      </c>
      <c r="BN196" s="49">
        <v>16</v>
      </c>
    </row>
    <row r="197" spans="1:66" ht="15">
      <c r="A197" s="66" t="s">
        <v>305</v>
      </c>
      <c r="B197" s="66" t="s">
        <v>305</v>
      </c>
      <c r="C197" s="67" t="s">
        <v>2140</v>
      </c>
      <c r="D197" s="68">
        <v>3</v>
      </c>
      <c r="E197" s="69" t="s">
        <v>136</v>
      </c>
      <c r="F197" s="70">
        <v>6</v>
      </c>
      <c r="G197" s="67"/>
      <c r="H197" s="71"/>
      <c r="I197" s="72"/>
      <c r="J197" s="72"/>
      <c r="K197" s="35" t="s">
        <v>65</v>
      </c>
      <c r="L197" s="80">
        <v>197</v>
      </c>
      <c r="M197" s="80"/>
      <c r="N197" s="74"/>
      <c r="O197" s="82" t="s">
        <v>211</v>
      </c>
      <c r="P197" s="84">
        <v>44727.872615740744</v>
      </c>
      <c r="Q197" s="82" t="s">
        <v>455</v>
      </c>
      <c r="R197" s="82"/>
      <c r="S197" s="82"/>
      <c r="T197" s="82"/>
      <c r="U197" s="82"/>
      <c r="V197" s="85" t="str">
        <f>HYPERLINK("https://pbs.twimg.com/profile_images/825717962481029123/h6cXfTnb_normal.jpg")</f>
        <v>https://pbs.twimg.com/profile_images/825717962481029123/h6cXfTnb_normal.jpg</v>
      </c>
      <c r="W197" s="84">
        <v>44727.872615740744</v>
      </c>
      <c r="X197" s="89">
        <v>44727</v>
      </c>
      <c r="Y197" s="87" t="s">
        <v>679</v>
      </c>
      <c r="Z197" s="85" t="str">
        <f>HYPERLINK("https://twitter.com/chombotofficial/status/1537177268799574016")</f>
        <v>https://twitter.com/chombotofficial/status/1537177268799574016</v>
      </c>
      <c r="AA197" s="82"/>
      <c r="AB197" s="82"/>
      <c r="AC197" s="87" t="s">
        <v>874</v>
      </c>
      <c r="AD197" s="82"/>
      <c r="AE197" s="82" t="b">
        <v>0</v>
      </c>
      <c r="AF197" s="82">
        <v>0</v>
      </c>
      <c r="AG197" s="87" t="s">
        <v>957</v>
      </c>
      <c r="AH197" s="82" t="b">
        <v>0</v>
      </c>
      <c r="AI197" s="82" t="s">
        <v>973</v>
      </c>
      <c r="AJ197" s="82"/>
      <c r="AK197" s="87" t="s">
        <v>957</v>
      </c>
      <c r="AL197" s="82" t="b">
        <v>0</v>
      </c>
      <c r="AM197" s="82">
        <v>0</v>
      </c>
      <c r="AN197" s="87" t="s">
        <v>957</v>
      </c>
      <c r="AO197" s="87" t="s">
        <v>305</v>
      </c>
      <c r="AP197" s="82" t="b">
        <v>0</v>
      </c>
      <c r="AQ197" s="87" t="s">
        <v>874</v>
      </c>
      <c r="AR197" s="82" t="s">
        <v>211</v>
      </c>
      <c r="AS197" s="82">
        <v>0</v>
      </c>
      <c r="AT197" s="82">
        <v>0</v>
      </c>
      <c r="AU197" s="82"/>
      <c r="AV197" s="82"/>
      <c r="AW197" s="82"/>
      <c r="AX197" s="82"/>
      <c r="AY197" s="82"/>
      <c r="AZ197" s="82"/>
      <c r="BA197" s="82"/>
      <c r="BB197" s="82"/>
      <c r="BC197">
        <v>142</v>
      </c>
      <c r="BD197" s="81" t="str">
        <f>REPLACE(INDEX(GroupVertices[Group],MATCH(Edges[[#This Row],[Vertex 1]],GroupVertices[Vertex],0)),1,1,"")</f>
        <v>2</v>
      </c>
      <c r="BE197" s="81" t="str">
        <f>REPLACE(INDEX(GroupVertices[Group],MATCH(Edges[[#This Row],[Vertex 2]],GroupVertices[Vertex],0)),1,1,"")</f>
        <v>2</v>
      </c>
      <c r="BF197" s="49">
        <v>1</v>
      </c>
      <c r="BG197" s="50">
        <v>4.545454545454546</v>
      </c>
      <c r="BH197" s="49">
        <v>1</v>
      </c>
      <c r="BI197" s="50">
        <v>4.545454545454546</v>
      </c>
      <c r="BJ197" s="49">
        <v>0</v>
      </c>
      <c r="BK197" s="50">
        <v>0</v>
      </c>
      <c r="BL197" s="49">
        <v>20</v>
      </c>
      <c r="BM197" s="50">
        <v>90.9090909090909</v>
      </c>
      <c r="BN197" s="49">
        <v>22</v>
      </c>
    </row>
    <row r="198" spans="1:66" ht="15">
      <c r="A198" s="66" t="s">
        <v>305</v>
      </c>
      <c r="B198" s="66" t="s">
        <v>305</v>
      </c>
      <c r="C198" s="67" t="s">
        <v>2140</v>
      </c>
      <c r="D198" s="68">
        <v>3</v>
      </c>
      <c r="E198" s="69" t="s">
        <v>136</v>
      </c>
      <c r="F198" s="70">
        <v>6</v>
      </c>
      <c r="G198" s="67"/>
      <c r="H198" s="71"/>
      <c r="I198" s="72"/>
      <c r="J198" s="72"/>
      <c r="K198" s="35" t="s">
        <v>65</v>
      </c>
      <c r="L198" s="80">
        <v>198</v>
      </c>
      <c r="M198" s="80"/>
      <c r="N198" s="74"/>
      <c r="O198" s="82" t="s">
        <v>211</v>
      </c>
      <c r="P198" s="84">
        <v>44727.88998842592</v>
      </c>
      <c r="Q198" s="82" t="s">
        <v>456</v>
      </c>
      <c r="R198" s="82"/>
      <c r="S198" s="82"/>
      <c r="T198" s="82"/>
      <c r="U198" s="82"/>
      <c r="V198" s="85" t="str">
        <f>HYPERLINK("https://pbs.twimg.com/profile_images/825717962481029123/h6cXfTnb_normal.jpg")</f>
        <v>https://pbs.twimg.com/profile_images/825717962481029123/h6cXfTnb_normal.jpg</v>
      </c>
      <c r="W198" s="84">
        <v>44727.88998842592</v>
      </c>
      <c r="X198" s="89">
        <v>44727</v>
      </c>
      <c r="Y198" s="87" t="s">
        <v>629</v>
      </c>
      <c r="Z198" s="85" t="str">
        <f>HYPERLINK("https://twitter.com/chombotofficial/status/1537183563137036288")</f>
        <v>https://twitter.com/chombotofficial/status/1537183563137036288</v>
      </c>
      <c r="AA198" s="82"/>
      <c r="AB198" s="82"/>
      <c r="AC198" s="87" t="s">
        <v>875</v>
      </c>
      <c r="AD198" s="82"/>
      <c r="AE198" s="82" t="b">
        <v>0</v>
      </c>
      <c r="AF198" s="82">
        <v>0</v>
      </c>
      <c r="AG198" s="87" t="s">
        <v>957</v>
      </c>
      <c r="AH198" s="82" t="b">
        <v>0</v>
      </c>
      <c r="AI198" s="82" t="s">
        <v>973</v>
      </c>
      <c r="AJ198" s="82"/>
      <c r="AK198" s="87" t="s">
        <v>957</v>
      </c>
      <c r="AL198" s="82" t="b">
        <v>0</v>
      </c>
      <c r="AM198" s="82">
        <v>0</v>
      </c>
      <c r="AN198" s="87" t="s">
        <v>957</v>
      </c>
      <c r="AO198" s="87" t="s">
        <v>305</v>
      </c>
      <c r="AP198" s="82" t="b">
        <v>0</v>
      </c>
      <c r="AQ198" s="87" t="s">
        <v>875</v>
      </c>
      <c r="AR198" s="82" t="s">
        <v>211</v>
      </c>
      <c r="AS198" s="82">
        <v>0</v>
      </c>
      <c r="AT198" s="82">
        <v>0</v>
      </c>
      <c r="AU198" s="82"/>
      <c r="AV198" s="82"/>
      <c r="AW198" s="82"/>
      <c r="AX198" s="82"/>
      <c r="AY198" s="82"/>
      <c r="AZ198" s="82"/>
      <c r="BA198" s="82"/>
      <c r="BB198" s="82"/>
      <c r="BC198">
        <v>142</v>
      </c>
      <c r="BD198" s="81" t="str">
        <f>REPLACE(INDEX(GroupVertices[Group],MATCH(Edges[[#This Row],[Vertex 1]],GroupVertices[Vertex],0)),1,1,"")</f>
        <v>2</v>
      </c>
      <c r="BE198" s="81" t="str">
        <f>REPLACE(INDEX(GroupVertices[Group],MATCH(Edges[[#This Row],[Vertex 2]],GroupVertices[Vertex],0)),1,1,"")</f>
        <v>2</v>
      </c>
      <c r="BF198" s="49">
        <v>0</v>
      </c>
      <c r="BG198" s="50">
        <v>0</v>
      </c>
      <c r="BH198" s="49">
        <v>0</v>
      </c>
      <c r="BI198" s="50">
        <v>0</v>
      </c>
      <c r="BJ198" s="49">
        <v>0</v>
      </c>
      <c r="BK198" s="50">
        <v>0</v>
      </c>
      <c r="BL198" s="49">
        <v>20</v>
      </c>
      <c r="BM198" s="50">
        <v>100</v>
      </c>
      <c r="BN198" s="49">
        <v>20</v>
      </c>
    </row>
    <row r="199" spans="1:66" ht="15">
      <c r="A199" s="66" t="s">
        <v>305</v>
      </c>
      <c r="B199" s="66" t="s">
        <v>305</v>
      </c>
      <c r="C199" s="67" t="s">
        <v>2140</v>
      </c>
      <c r="D199" s="68">
        <v>3</v>
      </c>
      <c r="E199" s="69" t="s">
        <v>136</v>
      </c>
      <c r="F199" s="70">
        <v>6</v>
      </c>
      <c r="G199" s="67"/>
      <c r="H199" s="71"/>
      <c r="I199" s="72"/>
      <c r="J199" s="72"/>
      <c r="K199" s="35" t="s">
        <v>65</v>
      </c>
      <c r="L199" s="80">
        <v>199</v>
      </c>
      <c r="M199" s="80"/>
      <c r="N199" s="74"/>
      <c r="O199" s="82" t="s">
        <v>211</v>
      </c>
      <c r="P199" s="84">
        <v>44727.914293981485</v>
      </c>
      <c r="Q199" s="82" t="s">
        <v>457</v>
      </c>
      <c r="R199" s="82"/>
      <c r="S199" s="82"/>
      <c r="T199" s="82"/>
      <c r="U199" s="82"/>
      <c r="V199" s="85" t="str">
        <f>HYPERLINK("https://pbs.twimg.com/profile_images/825717962481029123/h6cXfTnb_normal.jpg")</f>
        <v>https://pbs.twimg.com/profile_images/825717962481029123/h6cXfTnb_normal.jpg</v>
      </c>
      <c r="W199" s="84">
        <v>44727.914293981485</v>
      </c>
      <c r="X199" s="89">
        <v>44727</v>
      </c>
      <c r="Y199" s="87" t="s">
        <v>680</v>
      </c>
      <c r="Z199" s="85" t="str">
        <f>HYPERLINK("https://twitter.com/chombotofficial/status/1537192369531015169")</f>
        <v>https://twitter.com/chombotofficial/status/1537192369531015169</v>
      </c>
      <c r="AA199" s="82"/>
      <c r="AB199" s="82"/>
      <c r="AC199" s="87" t="s">
        <v>876</v>
      </c>
      <c r="AD199" s="82"/>
      <c r="AE199" s="82" t="b">
        <v>0</v>
      </c>
      <c r="AF199" s="82">
        <v>0</v>
      </c>
      <c r="AG199" s="87" t="s">
        <v>957</v>
      </c>
      <c r="AH199" s="82" t="b">
        <v>0</v>
      </c>
      <c r="AI199" s="82" t="s">
        <v>973</v>
      </c>
      <c r="AJ199" s="82"/>
      <c r="AK199" s="87" t="s">
        <v>957</v>
      </c>
      <c r="AL199" s="82" t="b">
        <v>0</v>
      </c>
      <c r="AM199" s="82">
        <v>0</v>
      </c>
      <c r="AN199" s="87" t="s">
        <v>957</v>
      </c>
      <c r="AO199" s="87" t="s">
        <v>305</v>
      </c>
      <c r="AP199" s="82" t="b">
        <v>0</v>
      </c>
      <c r="AQ199" s="87" t="s">
        <v>876</v>
      </c>
      <c r="AR199" s="82" t="s">
        <v>211</v>
      </c>
      <c r="AS199" s="82">
        <v>0</v>
      </c>
      <c r="AT199" s="82">
        <v>0</v>
      </c>
      <c r="AU199" s="82"/>
      <c r="AV199" s="82"/>
      <c r="AW199" s="82"/>
      <c r="AX199" s="82"/>
      <c r="AY199" s="82"/>
      <c r="AZ199" s="82"/>
      <c r="BA199" s="82"/>
      <c r="BB199" s="82"/>
      <c r="BC199">
        <v>142</v>
      </c>
      <c r="BD199" s="81" t="str">
        <f>REPLACE(INDEX(GroupVertices[Group],MATCH(Edges[[#This Row],[Vertex 1]],GroupVertices[Vertex],0)),1,1,"")</f>
        <v>2</v>
      </c>
      <c r="BE199" s="81" t="str">
        <f>REPLACE(INDEX(GroupVertices[Group],MATCH(Edges[[#This Row],[Vertex 2]],GroupVertices[Vertex],0)),1,1,"")</f>
        <v>2</v>
      </c>
      <c r="BF199" s="49">
        <v>0</v>
      </c>
      <c r="BG199" s="50">
        <v>0</v>
      </c>
      <c r="BH199" s="49">
        <v>2</v>
      </c>
      <c r="BI199" s="50">
        <v>10</v>
      </c>
      <c r="BJ199" s="49">
        <v>0</v>
      </c>
      <c r="BK199" s="50">
        <v>0</v>
      </c>
      <c r="BL199" s="49">
        <v>18</v>
      </c>
      <c r="BM199" s="50">
        <v>90</v>
      </c>
      <c r="BN199" s="49">
        <v>20</v>
      </c>
    </row>
    <row r="200" spans="1:66" ht="15">
      <c r="A200" s="66" t="s">
        <v>305</v>
      </c>
      <c r="B200" s="66" t="s">
        <v>305</v>
      </c>
      <c r="C200" s="67" t="s">
        <v>2140</v>
      </c>
      <c r="D200" s="68">
        <v>3</v>
      </c>
      <c r="E200" s="69" t="s">
        <v>136</v>
      </c>
      <c r="F200" s="70">
        <v>6</v>
      </c>
      <c r="G200" s="67"/>
      <c r="H200" s="71"/>
      <c r="I200" s="72"/>
      <c r="J200" s="72"/>
      <c r="K200" s="35" t="s">
        <v>65</v>
      </c>
      <c r="L200" s="80">
        <v>200</v>
      </c>
      <c r="M200" s="80"/>
      <c r="N200" s="74"/>
      <c r="O200" s="82" t="s">
        <v>211</v>
      </c>
      <c r="P200" s="84">
        <v>44727.917766203704</v>
      </c>
      <c r="Q200" s="82" t="s">
        <v>458</v>
      </c>
      <c r="R200" s="82"/>
      <c r="S200" s="82"/>
      <c r="T200" s="82"/>
      <c r="U200" s="82"/>
      <c r="V200" s="85" t="str">
        <f>HYPERLINK("https://pbs.twimg.com/profile_images/825717962481029123/h6cXfTnb_normal.jpg")</f>
        <v>https://pbs.twimg.com/profile_images/825717962481029123/h6cXfTnb_normal.jpg</v>
      </c>
      <c r="W200" s="84">
        <v>44727.917766203704</v>
      </c>
      <c r="X200" s="89">
        <v>44727</v>
      </c>
      <c r="Y200" s="87" t="s">
        <v>618</v>
      </c>
      <c r="Z200" s="85" t="str">
        <f>HYPERLINK("https://twitter.com/chombotofficial/status/1537193628094939136")</f>
        <v>https://twitter.com/chombotofficial/status/1537193628094939136</v>
      </c>
      <c r="AA200" s="82"/>
      <c r="AB200" s="82"/>
      <c r="AC200" s="87" t="s">
        <v>877</v>
      </c>
      <c r="AD200" s="82"/>
      <c r="AE200" s="82" t="b">
        <v>0</v>
      </c>
      <c r="AF200" s="82">
        <v>0</v>
      </c>
      <c r="AG200" s="87" t="s">
        <v>957</v>
      </c>
      <c r="AH200" s="82" t="b">
        <v>0</v>
      </c>
      <c r="AI200" s="82" t="s">
        <v>973</v>
      </c>
      <c r="AJ200" s="82"/>
      <c r="AK200" s="87" t="s">
        <v>957</v>
      </c>
      <c r="AL200" s="82" t="b">
        <v>0</v>
      </c>
      <c r="AM200" s="82">
        <v>0</v>
      </c>
      <c r="AN200" s="87" t="s">
        <v>957</v>
      </c>
      <c r="AO200" s="87" t="s">
        <v>305</v>
      </c>
      <c r="AP200" s="82" t="b">
        <v>0</v>
      </c>
      <c r="AQ200" s="87" t="s">
        <v>877</v>
      </c>
      <c r="AR200" s="82" t="s">
        <v>211</v>
      </c>
      <c r="AS200" s="82">
        <v>0</v>
      </c>
      <c r="AT200" s="82">
        <v>0</v>
      </c>
      <c r="AU200" s="82"/>
      <c r="AV200" s="82"/>
      <c r="AW200" s="82"/>
      <c r="AX200" s="82"/>
      <c r="AY200" s="82"/>
      <c r="AZ200" s="82"/>
      <c r="BA200" s="82"/>
      <c r="BB200" s="82"/>
      <c r="BC200">
        <v>142</v>
      </c>
      <c r="BD200" s="81" t="str">
        <f>REPLACE(INDEX(GroupVertices[Group],MATCH(Edges[[#This Row],[Vertex 1]],GroupVertices[Vertex],0)),1,1,"")</f>
        <v>2</v>
      </c>
      <c r="BE200" s="81" t="str">
        <f>REPLACE(INDEX(GroupVertices[Group],MATCH(Edges[[#This Row],[Vertex 2]],GroupVertices[Vertex],0)),1,1,"")</f>
        <v>2</v>
      </c>
      <c r="BF200" s="49">
        <v>0</v>
      </c>
      <c r="BG200" s="50">
        <v>0</v>
      </c>
      <c r="BH200" s="49">
        <v>0</v>
      </c>
      <c r="BI200" s="50">
        <v>0</v>
      </c>
      <c r="BJ200" s="49">
        <v>0</v>
      </c>
      <c r="BK200" s="50">
        <v>0</v>
      </c>
      <c r="BL200" s="49">
        <v>11</v>
      </c>
      <c r="BM200" s="50">
        <v>100</v>
      </c>
      <c r="BN200" s="49">
        <v>11</v>
      </c>
    </row>
    <row r="201" spans="1:66" ht="15">
      <c r="A201" s="66" t="s">
        <v>305</v>
      </c>
      <c r="B201" s="66" t="s">
        <v>305</v>
      </c>
      <c r="C201" s="67" t="s">
        <v>2140</v>
      </c>
      <c r="D201" s="68">
        <v>3</v>
      </c>
      <c r="E201" s="69" t="s">
        <v>136</v>
      </c>
      <c r="F201" s="70">
        <v>6</v>
      </c>
      <c r="G201" s="67"/>
      <c r="H201" s="71"/>
      <c r="I201" s="72"/>
      <c r="J201" s="72"/>
      <c r="K201" s="35" t="s">
        <v>65</v>
      </c>
      <c r="L201" s="80">
        <v>201</v>
      </c>
      <c r="M201" s="80"/>
      <c r="N201" s="74"/>
      <c r="O201" s="82" t="s">
        <v>211</v>
      </c>
      <c r="P201" s="84">
        <v>44727.976793981485</v>
      </c>
      <c r="Q201" s="82" t="s">
        <v>459</v>
      </c>
      <c r="R201" s="82"/>
      <c r="S201" s="82"/>
      <c r="T201" s="82"/>
      <c r="U201" s="82"/>
      <c r="V201" s="85" t="str">
        <f>HYPERLINK("https://pbs.twimg.com/profile_images/825717962481029123/h6cXfTnb_normal.jpg")</f>
        <v>https://pbs.twimg.com/profile_images/825717962481029123/h6cXfTnb_normal.jpg</v>
      </c>
      <c r="W201" s="84">
        <v>44727.976793981485</v>
      </c>
      <c r="X201" s="89">
        <v>44727</v>
      </c>
      <c r="Y201" s="87" t="s">
        <v>619</v>
      </c>
      <c r="Z201" s="85" t="str">
        <f>HYPERLINK("https://twitter.com/chombotofficial/status/1537215019817275393")</f>
        <v>https://twitter.com/chombotofficial/status/1537215019817275393</v>
      </c>
      <c r="AA201" s="82"/>
      <c r="AB201" s="82"/>
      <c r="AC201" s="87" t="s">
        <v>878</v>
      </c>
      <c r="AD201" s="82"/>
      <c r="AE201" s="82" t="b">
        <v>0</v>
      </c>
      <c r="AF201" s="82">
        <v>0</v>
      </c>
      <c r="AG201" s="87" t="s">
        <v>957</v>
      </c>
      <c r="AH201" s="82" t="b">
        <v>0</v>
      </c>
      <c r="AI201" s="82" t="s">
        <v>973</v>
      </c>
      <c r="AJ201" s="82"/>
      <c r="AK201" s="87" t="s">
        <v>957</v>
      </c>
      <c r="AL201" s="82" t="b">
        <v>0</v>
      </c>
      <c r="AM201" s="82">
        <v>0</v>
      </c>
      <c r="AN201" s="87" t="s">
        <v>957</v>
      </c>
      <c r="AO201" s="87" t="s">
        <v>305</v>
      </c>
      <c r="AP201" s="82" t="b">
        <v>0</v>
      </c>
      <c r="AQ201" s="87" t="s">
        <v>878</v>
      </c>
      <c r="AR201" s="82" t="s">
        <v>211</v>
      </c>
      <c r="AS201" s="82">
        <v>0</v>
      </c>
      <c r="AT201" s="82">
        <v>0</v>
      </c>
      <c r="AU201" s="82"/>
      <c r="AV201" s="82"/>
      <c r="AW201" s="82"/>
      <c r="AX201" s="82"/>
      <c r="AY201" s="82"/>
      <c r="AZ201" s="82"/>
      <c r="BA201" s="82"/>
      <c r="BB201" s="82"/>
      <c r="BC201">
        <v>142</v>
      </c>
      <c r="BD201" s="81" t="str">
        <f>REPLACE(INDEX(GroupVertices[Group],MATCH(Edges[[#This Row],[Vertex 1]],GroupVertices[Vertex],0)),1,1,"")</f>
        <v>2</v>
      </c>
      <c r="BE201" s="81" t="str">
        <f>REPLACE(INDEX(GroupVertices[Group],MATCH(Edges[[#This Row],[Vertex 2]],GroupVertices[Vertex],0)),1,1,"")</f>
        <v>2</v>
      </c>
      <c r="BF201" s="49">
        <v>0</v>
      </c>
      <c r="BG201" s="50">
        <v>0</v>
      </c>
      <c r="BH201" s="49">
        <v>1</v>
      </c>
      <c r="BI201" s="50">
        <v>12.5</v>
      </c>
      <c r="BJ201" s="49">
        <v>0</v>
      </c>
      <c r="BK201" s="50">
        <v>0</v>
      </c>
      <c r="BL201" s="49">
        <v>7</v>
      </c>
      <c r="BM201" s="50">
        <v>87.5</v>
      </c>
      <c r="BN201" s="49">
        <v>8</v>
      </c>
    </row>
    <row r="202" spans="1:66" ht="15">
      <c r="A202" s="66" t="s">
        <v>305</v>
      </c>
      <c r="B202" s="66" t="s">
        <v>305</v>
      </c>
      <c r="C202" s="67" t="s">
        <v>2140</v>
      </c>
      <c r="D202" s="68">
        <v>3</v>
      </c>
      <c r="E202" s="69" t="s">
        <v>136</v>
      </c>
      <c r="F202" s="70">
        <v>6</v>
      </c>
      <c r="G202" s="67"/>
      <c r="H202" s="71"/>
      <c r="I202" s="72"/>
      <c r="J202" s="72"/>
      <c r="K202" s="35" t="s">
        <v>65</v>
      </c>
      <c r="L202" s="80">
        <v>202</v>
      </c>
      <c r="M202" s="80"/>
      <c r="N202" s="74"/>
      <c r="O202" s="82" t="s">
        <v>211</v>
      </c>
      <c r="P202" s="84">
        <v>44728.074016203704</v>
      </c>
      <c r="Q202" s="82" t="s">
        <v>460</v>
      </c>
      <c r="R202" s="82"/>
      <c r="S202" s="82"/>
      <c r="T202" s="82"/>
      <c r="U202" s="82"/>
      <c r="V202" s="85" t="str">
        <f>HYPERLINK("https://pbs.twimg.com/profile_images/825717962481029123/h6cXfTnb_normal.jpg")</f>
        <v>https://pbs.twimg.com/profile_images/825717962481029123/h6cXfTnb_normal.jpg</v>
      </c>
      <c r="W202" s="84">
        <v>44728.074016203704</v>
      </c>
      <c r="X202" s="89">
        <v>44728</v>
      </c>
      <c r="Y202" s="87" t="s">
        <v>681</v>
      </c>
      <c r="Z202" s="85" t="str">
        <f>HYPERLINK("https://twitter.com/chombotofficial/status/1537250251781943297")</f>
        <v>https://twitter.com/chombotofficial/status/1537250251781943297</v>
      </c>
      <c r="AA202" s="82"/>
      <c r="AB202" s="82"/>
      <c r="AC202" s="87" t="s">
        <v>879</v>
      </c>
      <c r="AD202" s="82"/>
      <c r="AE202" s="82" t="b">
        <v>0</v>
      </c>
      <c r="AF202" s="82">
        <v>0</v>
      </c>
      <c r="AG202" s="87" t="s">
        <v>957</v>
      </c>
      <c r="AH202" s="82" t="b">
        <v>0</v>
      </c>
      <c r="AI202" s="82" t="s">
        <v>973</v>
      </c>
      <c r="AJ202" s="82"/>
      <c r="AK202" s="87" t="s">
        <v>957</v>
      </c>
      <c r="AL202" s="82" t="b">
        <v>0</v>
      </c>
      <c r="AM202" s="82">
        <v>0</v>
      </c>
      <c r="AN202" s="87" t="s">
        <v>957</v>
      </c>
      <c r="AO202" s="87" t="s">
        <v>305</v>
      </c>
      <c r="AP202" s="82" t="b">
        <v>0</v>
      </c>
      <c r="AQ202" s="87" t="s">
        <v>879</v>
      </c>
      <c r="AR202" s="82" t="s">
        <v>211</v>
      </c>
      <c r="AS202" s="82">
        <v>0</v>
      </c>
      <c r="AT202" s="82">
        <v>0</v>
      </c>
      <c r="AU202" s="82"/>
      <c r="AV202" s="82"/>
      <c r="AW202" s="82"/>
      <c r="AX202" s="82"/>
      <c r="AY202" s="82"/>
      <c r="AZ202" s="82"/>
      <c r="BA202" s="82"/>
      <c r="BB202" s="82"/>
      <c r="BC202">
        <v>142</v>
      </c>
      <c r="BD202" s="81" t="str">
        <f>REPLACE(INDEX(GroupVertices[Group],MATCH(Edges[[#This Row],[Vertex 1]],GroupVertices[Vertex],0)),1,1,"")</f>
        <v>2</v>
      </c>
      <c r="BE202" s="81" t="str">
        <f>REPLACE(INDEX(GroupVertices[Group],MATCH(Edges[[#This Row],[Vertex 2]],GroupVertices[Vertex],0)),1,1,"")</f>
        <v>2</v>
      </c>
      <c r="BF202" s="49">
        <v>1</v>
      </c>
      <c r="BG202" s="50">
        <v>7.142857142857143</v>
      </c>
      <c r="BH202" s="49">
        <v>1</v>
      </c>
      <c r="BI202" s="50">
        <v>7.142857142857143</v>
      </c>
      <c r="BJ202" s="49">
        <v>0</v>
      </c>
      <c r="BK202" s="50">
        <v>0</v>
      </c>
      <c r="BL202" s="49">
        <v>12</v>
      </c>
      <c r="BM202" s="50">
        <v>85.71428571428571</v>
      </c>
      <c r="BN202" s="49">
        <v>14</v>
      </c>
    </row>
    <row r="203" spans="1:66" ht="15">
      <c r="A203" s="66" t="s">
        <v>305</v>
      </c>
      <c r="B203" s="66" t="s">
        <v>305</v>
      </c>
      <c r="C203" s="67" t="s">
        <v>2140</v>
      </c>
      <c r="D203" s="68">
        <v>3</v>
      </c>
      <c r="E203" s="69" t="s">
        <v>136</v>
      </c>
      <c r="F203" s="70">
        <v>6</v>
      </c>
      <c r="G203" s="67"/>
      <c r="H203" s="71"/>
      <c r="I203" s="72"/>
      <c r="J203" s="72"/>
      <c r="K203" s="35" t="s">
        <v>65</v>
      </c>
      <c r="L203" s="80">
        <v>203</v>
      </c>
      <c r="M203" s="80"/>
      <c r="N203" s="74"/>
      <c r="O203" s="82" t="s">
        <v>211</v>
      </c>
      <c r="P203" s="84">
        <v>44728.12609953704</v>
      </c>
      <c r="Q203" s="82" t="s">
        <v>461</v>
      </c>
      <c r="R203" s="82"/>
      <c r="S203" s="82"/>
      <c r="T203" s="82"/>
      <c r="U203" s="82"/>
      <c r="V203" s="85" t="str">
        <f>HYPERLINK("https://pbs.twimg.com/profile_images/825717962481029123/h6cXfTnb_normal.jpg")</f>
        <v>https://pbs.twimg.com/profile_images/825717962481029123/h6cXfTnb_normal.jpg</v>
      </c>
      <c r="W203" s="84">
        <v>44728.12609953704</v>
      </c>
      <c r="X203" s="89">
        <v>44728</v>
      </c>
      <c r="Y203" s="87" t="s">
        <v>682</v>
      </c>
      <c r="Z203" s="85" t="str">
        <f>HYPERLINK("https://twitter.com/chombotofficial/status/1537269124686139393")</f>
        <v>https://twitter.com/chombotofficial/status/1537269124686139393</v>
      </c>
      <c r="AA203" s="82"/>
      <c r="AB203" s="82"/>
      <c r="AC203" s="87" t="s">
        <v>880</v>
      </c>
      <c r="AD203" s="82"/>
      <c r="AE203" s="82" t="b">
        <v>0</v>
      </c>
      <c r="AF203" s="82">
        <v>0</v>
      </c>
      <c r="AG203" s="87" t="s">
        <v>957</v>
      </c>
      <c r="AH203" s="82" t="b">
        <v>0</v>
      </c>
      <c r="AI203" s="82" t="s">
        <v>973</v>
      </c>
      <c r="AJ203" s="82"/>
      <c r="AK203" s="87" t="s">
        <v>957</v>
      </c>
      <c r="AL203" s="82" t="b">
        <v>0</v>
      </c>
      <c r="AM203" s="82">
        <v>0</v>
      </c>
      <c r="AN203" s="87" t="s">
        <v>957</v>
      </c>
      <c r="AO203" s="87" t="s">
        <v>305</v>
      </c>
      <c r="AP203" s="82" t="b">
        <v>0</v>
      </c>
      <c r="AQ203" s="87" t="s">
        <v>880</v>
      </c>
      <c r="AR203" s="82" t="s">
        <v>211</v>
      </c>
      <c r="AS203" s="82">
        <v>0</v>
      </c>
      <c r="AT203" s="82">
        <v>0</v>
      </c>
      <c r="AU203" s="82"/>
      <c r="AV203" s="82"/>
      <c r="AW203" s="82"/>
      <c r="AX203" s="82"/>
      <c r="AY203" s="82"/>
      <c r="AZ203" s="82"/>
      <c r="BA203" s="82"/>
      <c r="BB203" s="82"/>
      <c r="BC203">
        <v>142</v>
      </c>
      <c r="BD203" s="81" t="str">
        <f>REPLACE(INDEX(GroupVertices[Group],MATCH(Edges[[#This Row],[Vertex 1]],GroupVertices[Vertex],0)),1,1,"")</f>
        <v>2</v>
      </c>
      <c r="BE203" s="81" t="str">
        <f>REPLACE(INDEX(GroupVertices[Group],MATCH(Edges[[#This Row],[Vertex 2]],GroupVertices[Vertex],0)),1,1,"")</f>
        <v>2</v>
      </c>
      <c r="BF203" s="49">
        <v>0</v>
      </c>
      <c r="BG203" s="50">
        <v>0</v>
      </c>
      <c r="BH203" s="49">
        <v>0</v>
      </c>
      <c r="BI203" s="50">
        <v>0</v>
      </c>
      <c r="BJ203" s="49">
        <v>0</v>
      </c>
      <c r="BK203" s="50">
        <v>0</v>
      </c>
      <c r="BL203" s="49">
        <v>22</v>
      </c>
      <c r="BM203" s="50">
        <v>100</v>
      </c>
      <c r="BN203" s="49">
        <v>22</v>
      </c>
    </row>
    <row r="204" spans="1:66" ht="15">
      <c r="A204" s="66" t="s">
        <v>305</v>
      </c>
      <c r="B204" s="66" t="s">
        <v>305</v>
      </c>
      <c r="C204" s="67" t="s">
        <v>2140</v>
      </c>
      <c r="D204" s="68">
        <v>3</v>
      </c>
      <c r="E204" s="69" t="s">
        <v>136</v>
      </c>
      <c r="F204" s="70">
        <v>6</v>
      </c>
      <c r="G204" s="67"/>
      <c r="H204" s="71"/>
      <c r="I204" s="72"/>
      <c r="J204" s="72"/>
      <c r="K204" s="35" t="s">
        <v>65</v>
      </c>
      <c r="L204" s="80">
        <v>204</v>
      </c>
      <c r="M204" s="80"/>
      <c r="N204" s="74"/>
      <c r="O204" s="82" t="s">
        <v>211</v>
      </c>
      <c r="P204" s="84">
        <v>44728.13998842592</v>
      </c>
      <c r="Q204" s="82" t="s">
        <v>462</v>
      </c>
      <c r="R204" s="82"/>
      <c r="S204" s="82"/>
      <c r="T204" s="82"/>
      <c r="U204" s="82"/>
      <c r="V204" s="85" t="str">
        <f>HYPERLINK("https://pbs.twimg.com/profile_images/825717962481029123/h6cXfTnb_normal.jpg")</f>
        <v>https://pbs.twimg.com/profile_images/825717962481029123/h6cXfTnb_normal.jpg</v>
      </c>
      <c r="W204" s="84">
        <v>44728.13998842592</v>
      </c>
      <c r="X204" s="89">
        <v>44728</v>
      </c>
      <c r="Y204" s="87" t="s">
        <v>683</v>
      </c>
      <c r="Z204" s="85" t="str">
        <f>HYPERLINK("https://twitter.com/chombotofficial/status/1537274158995972098")</f>
        <v>https://twitter.com/chombotofficial/status/1537274158995972098</v>
      </c>
      <c r="AA204" s="82"/>
      <c r="AB204" s="82"/>
      <c r="AC204" s="87" t="s">
        <v>881</v>
      </c>
      <c r="AD204" s="82"/>
      <c r="AE204" s="82" t="b">
        <v>0</v>
      </c>
      <c r="AF204" s="82">
        <v>0</v>
      </c>
      <c r="AG204" s="87" t="s">
        <v>957</v>
      </c>
      <c r="AH204" s="82" t="b">
        <v>0</v>
      </c>
      <c r="AI204" s="82" t="s">
        <v>973</v>
      </c>
      <c r="AJ204" s="82"/>
      <c r="AK204" s="87" t="s">
        <v>957</v>
      </c>
      <c r="AL204" s="82" t="b">
        <v>0</v>
      </c>
      <c r="AM204" s="82">
        <v>0</v>
      </c>
      <c r="AN204" s="87" t="s">
        <v>957</v>
      </c>
      <c r="AO204" s="87" t="s">
        <v>305</v>
      </c>
      <c r="AP204" s="82" t="b">
        <v>0</v>
      </c>
      <c r="AQ204" s="87" t="s">
        <v>881</v>
      </c>
      <c r="AR204" s="82" t="s">
        <v>211</v>
      </c>
      <c r="AS204" s="82">
        <v>0</v>
      </c>
      <c r="AT204" s="82">
        <v>0</v>
      </c>
      <c r="AU204" s="82"/>
      <c r="AV204" s="82"/>
      <c r="AW204" s="82"/>
      <c r="AX204" s="82"/>
      <c r="AY204" s="82"/>
      <c r="AZ204" s="82"/>
      <c r="BA204" s="82"/>
      <c r="BB204" s="82"/>
      <c r="BC204">
        <v>142</v>
      </c>
      <c r="BD204" s="81" t="str">
        <f>REPLACE(INDEX(GroupVertices[Group],MATCH(Edges[[#This Row],[Vertex 1]],GroupVertices[Vertex],0)),1,1,"")</f>
        <v>2</v>
      </c>
      <c r="BE204" s="81"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6" t="s">
        <v>305</v>
      </c>
      <c r="B205" s="66" t="s">
        <v>305</v>
      </c>
      <c r="C205" s="67" t="s">
        <v>2140</v>
      </c>
      <c r="D205" s="68">
        <v>3</v>
      </c>
      <c r="E205" s="69" t="s">
        <v>136</v>
      </c>
      <c r="F205" s="70">
        <v>6</v>
      </c>
      <c r="G205" s="67"/>
      <c r="H205" s="71"/>
      <c r="I205" s="72"/>
      <c r="J205" s="72"/>
      <c r="K205" s="35" t="s">
        <v>65</v>
      </c>
      <c r="L205" s="80">
        <v>205</v>
      </c>
      <c r="M205" s="80"/>
      <c r="N205" s="74"/>
      <c r="O205" s="82" t="s">
        <v>211</v>
      </c>
      <c r="P205" s="84">
        <v>44728.26150462963</v>
      </c>
      <c r="Q205" s="82" t="s">
        <v>463</v>
      </c>
      <c r="R205" s="82"/>
      <c r="S205" s="82"/>
      <c r="T205" s="82"/>
      <c r="U205" s="82"/>
      <c r="V205" s="85" t="str">
        <f>HYPERLINK("https://pbs.twimg.com/profile_images/825717962481029123/h6cXfTnb_normal.jpg")</f>
        <v>https://pbs.twimg.com/profile_images/825717962481029123/h6cXfTnb_normal.jpg</v>
      </c>
      <c r="W205" s="84">
        <v>44728.26150462963</v>
      </c>
      <c r="X205" s="89">
        <v>44728</v>
      </c>
      <c r="Y205" s="87" t="s">
        <v>684</v>
      </c>
      <c r="Z205" s="85" t="str">
        <f>HYPERLINK("https://twitter.com/chombotofficial/status/1537318197564776448")</f>
        <v>https://twitter.com/chombotofficial/status/1537318197564776448</v>
      </c>
      <c r="AA205" s="82"/>
      <c r="AB205" s="82"/>
      <c r="AC205" s="87" t="s">
        <v>882</v>
      </c>
      <c r="AD205" s="82"/>
      <c r="AE205" s="82" t="b">
        <v>0</v>
      </c>
      <c r="AF205" s="82">
        <v>0</v>
      </c>
      <c r="AG205" s="87" t="s">
        <v>957</v>
      </c>
      <c r="AH205" s="82" t="b">
        <v>0</v>
      </c>
      <c r="AI205" s="82" t="s">
        <v>973</v>
      </c>
      <c r="AJ205" s="82"/>
      <c r="AK205" s="87" t="s">
        <v>957</v>
      </c>
      <c r="AL205" s="82" t="b">
        <v>0</v>
      </c>
      <c r="AM205" s="82">
        <v>0</v>
      </c>
      <c r="AN205" s="87" t="s">
        <v>957</v>
      </c>
      <c r="AO205" s="87" t="s">
        <v>305</v>
      </c>
      <c r="AP205" s="82" t="b">
        <v>0</v>
      </c>
      <c r="AQ205" s="87" t="s">
        <v>882</v>
      </c>
      <c r="AR205" s="82" t="s">
        <v>211</v>
      </c>
      <c r="AS205" s="82">
        <v>0</v>
      </c>
      <c r="AT205" s="82">
        <v>0</v>
      </c>
      <c r="AU205" s="82"/>
      <c r="AV205" s="82"/>
      <c r="AW205" s="82"/>
      <c r="AX205" s="82"/>
      <c r="AY205" s="82"/>
      <c r="AZ205" s="82"/>
      <c r="BA205" s="82"/>
      <c r="BB205" s="82"/>
      <c r="BC205">
        <v>142</v>
      </c>
      <c r="BD205" s="81" t="str">
        <f>REPLACE(INDEX(GroupVertices[Group],MATCH(Edges[[#This Row],[Vertex 1]],GroupVertices[Vertex],0)),1,1,"")</f>
        <v>2</v>
      </c>
      <c r="BE205" s="81" t="str">
        <f>REPLACE(INDEX(GroupVertices[Group],MATCH(Edges[[#This Row],[Vertex 2]],GroupVertices[Vertex],0)),1,1,"")</f>
        <v>2</v>
      </c>
      <c r="BF205" s="49">
        <v>0</v>
      </c>
      <c r="BG205" s="50">
        <v>0</v>
      </c>
      <c r="BH205" s="49">
        <v>0</v>
      </c>
      <c r="BI205" s="50">
        <v>0</v>
      </c>
      <c r="BJ205" s="49">
        <v>0</v>
      </c>
      <c r="BK205" s="50">
        <v>0</v>
      </c>
      <c r="BL205" s="49">
        <v>16</v>
      </c>
      <c r="BM205" s="50">
        <v>100</v>
      </c>
      <c r="BN205" s="49">
        <v>16</v>
      </c>
    </row>
    <row r="206" spans="1:66" ht="15">
      <c r="A206" s="66" t="s">
        <v>305</v>
      </c>
      <c r="B206" s="66" t="s">
        <v>305</v>
      </c>
      <c r="C206" s="67" t="s">
        <v>2140</v>
      </c>
      <c r="D206" s="68">
        <v>3</v>
      </c>
      <c r="E206" s="69" t="s">
        <v>136</v>
      </c>
      <c r="F206" s="70">
        <v>6</v>
      </c>
      <c r="G206" s="67"/>
      <c r="H206" s="71"/>
      <c r="I206" s="72"/>
      <c r="J206" s="72"/>
      <c r="K206" s="35" t="s">
        <v>65</v>
      </c>
      <c r="L206" s="80">
        <v>206</v>
      </c>
      <c r="M206" s="80"/>
      <c r="N206" s="74"/>
      <c r="O206" s="82" t="s">
        <v>211</v>
      </c>
      <c r="P206" s="84">
        <v>44728.39346064815</v>
      </c>
      <c r="Q206" s="82" t="s">
        <v>464</v>
      </c>
      <c r="R206" s="82"/>
      <c r="S206" s="82"/>
      <c r="T206" s="82"/>
      <c r="U206" s="82"/>
      <c r="V206" s="85" t="str">
        <f>HYPERLINK("https://pbs.twimg.com/profile_images/825717962481029123/h6cXfTnb_normal.jpg")</f>
        <v>https://pbs.twimg.com/profile_images/825717962481029123/h6cXfTnb_normal.jpg</v>
      </c>
      <c r="W206" s="84">
        <v>44728.39346064815</v>
      </c>
      <c r="X206" s="89">
        <v>44728</v>
      </c>
      <c r="Y206" s="87" t="s">
        <v>685</v>
      </c>
      <c r="Z206" s="85" t="str">
        <f>HYPERLINK("https://twitter.com/chombotofficial/status/1537366014811422721")</f>
        <v>https://twitter.com/chombotofficial/status/1537366014811422721</v>
      </c>
      <c r="AA206" s="82"/>
      <c r="AB206" s="82"/>
      <c r="AC206" s="87" t="s">
        <v>883</v>
      </c>
      <c r="AD206" s="82"/>
      <c r="AE206" s="82" t="b">
        <v>0</v>
      </c>
      <c r="AF206" s="82">
        <v>0</v>
      </c>
      <c r="AG206" s="87" t="s">
        <v>957</v>
      </c>
      <c r="AH206" s="82" t="b">
        <v>0</v>
      </c>
      <c r="AI206" s="82" t="s">
        <v>973</v>
      </c>
      <c r="AJ206" s="82"/>
      <c r="AK206" s="87" t="s">
        <v>957</v>
      </c>
      <c r="AL206" s="82" t="b">
        <v>0</v>
      </c>
      <c r="AM206" s="82">
        <v>0</v>
      </c>
      <c r="AN206" s="87" t="s">
        <v>957</v>
      </c>
      <c r="AO206" s="87" t="s">
        <v>305</v>
      </c>
      <c r="AP206" s="82" t="b">
        <v>0</v>
      </c>
      <c r="AQ206" s="87" t="s">
        <v>883</v>
      </c>
      <c r="AR206" s="82" t="s">
        <v>211</v>
      </c>
      <c r="AS206" s="82">
        <v>0</v>
      </c>
      <c r="AT206" s="82">
        <v>0</v>
      </c>
      <c r="AU206" s="82"/>
      <c r="AV206" s="82"/>
      <c r="AW206" s="82"/>
      <c r="AX206" s="82"/>
      <c r="AY206" s="82"/>
      <c r="AZ206" s="82"/>
      <c r="BA206" s="82"/>
      <c r="BB206" s="82"/>
      <c r="BC206">
        <v>142</v>
      </c>
      <c r="BD206" s="81" t="str">
        <f>REPLACE(INDEX(GroupVertices[Group],MATCH(Edges[[#This Row],[Vertex 1]],GroupVertices[Vertex],0)),1,1,"")</f>
        <v>2</v>
      </c>
      <c r="BE206" s="81" t="str">
        <f>REPLACE(INDEX(GroupVertices[Group],MATCH(Edges[[#This Row],[Vertex 2]],GroupVertices[Vertex],0)),1,1,"")</f>
        <v>2</v>
      </c>
      <c r="BF206" s="49">
        <v>0</v>
      </c>
      <c r="BG206" s="50">
        <v>0</v>
      </c>
      <c r="BH206" s="49">
        <v>0</v>
      </c>
      <c r="BI206" s="50">
        <v>0</v>
      </c>
      <c r="BJ206" s="49">
        <v>0</v>
      </c>
      <c r="BK206" s="50">
        <v>0</v>
      </c>
      <c r="BL206" s="49">
        <v>19</v>
      </c>
      <c r="BM206" s="50">
        <v>100</v>
      </c>
      <c r="BN206" s="49">
        <v>19</v>
      </c>
    </row>
    <row r="207" spans="1:66" ht="15">
      <c r="A207" s="66" t="s">
        <v>305</v>
      </c>
      <c r="B207" s="66" t="s">
        <v>305</v>
      </c>
      <c r="C207" s="67" t="s">
        <v>2140</v>
      </c>
      <c r="D207" s="68">
        <v>3</v>
      </c>
      <c r="E207" s="69" t="s">
        <v>136</v>
      </c>
      <c r="F207" s="70">
        <v>6</v>
      </c>
      <c r="G207" s="67"/>
      <c r="H207" s="71"/>
      <c r="I207" s="72"/>
      <c r="J207" s="72"/>
      <c r="K207" s="35" t="s">
        <v>65</v>
      </c>
      <c r="L207" s="80">
        <v>207</v>
      </c>
      <c r="M207" s="80"/>
      <c r="N207" s="74"/>
      <c r="O207" s="82" t="s">
        <v>211</v>
      </c>
      <c r="P207" s="84">
        <v>44728.39693287037</v>
      </c>
      <c r="Q207" s="82" t="s">
        <v>465</v>
      </c>
      <c r="R207" s="82"/>
      <c r="S207" s="82"/>
      <c r="T207" s="82"/>
      <c r="U207" s="82"/>
      <c r="V207" s="85" t="str">
        <f>HYPERLINK("https://pbs.twimg.com/profile_images/825717962481029123/h6cXfTnb_normal.jpg")</f>
        <v>https://pbs.twimg.com/profile_images/825717962481029123/h6cXfTnb_normal.jpg</v>
      </c>
      <c r="W207" s="84">
        <v>44728.39693287037</v>
      </c>
      <c r="X207" s="89">
        <v>44728</v>
      </c>
      <c r="Y207" s="87" t="s">
        <v>686</v>
      </c>
      <c r="Z207" s="85" t="str">
        <f>HYPERLINK("https://twitter.com/chombotofficial/status/1537367271865196550")</f>
        <v>https://twitter.com/chombotofficial/status/1537367271865196550</v>
      </c>
      <c r="AA207" s="82"/>
      <c r="AB207" s="82"/>
      <c r="AC207" s="87" t="s">
        <v>884</v>
      </c>
      <c r="AD207" s="82"/>
      <c r="AE207" s="82" t="b">
        <v>0</v>
      </c>
      <c r="AF207" s="82">
        <v>0</v>
      </c>
      <c r="AG207" s="87" t="s">
        <v>957</v>
      </c>
      <c r="AH207" s="82" t="b">
        <v>0</v>
      </c>
      <c r="AI207" s="82" t="s">
        <v>973</v>
      </c>
      <c r="AJ207" s="82"/>
      <c r="AK207" s="87" t="s">
        <v>957</v>
      </c>
      <c r="AL207" s="82" t="b">
        <v>0</v>
      </c>
      <c r="AM207" s="82">
        <v>0</v>
      </c>
      <c r="AN207" s="87" t="s">
        <v>957</v>
      </c>
      <c r="AO207" s="87" t="s">
        <v>305</v>
      </c>
      <c r="AP207" s="82" t="b">
        <v>0</v>
      </c>
      <c r="AQ207" s="87" t="s">
        <v>884</v>
      </c>
      <c r="AR207" s="82" t="s">
        <v>211</v>
      </c>
      <c r="AS207" s="82">
        <v>0</v>
      </c>
      <c r="AT207" s="82">
        <v>0</v>
      </c>
      <c r="AU207" s="82"/>
      <c r="AV207" s="82"/>
      <c r="AW207" s="82"/>
      <c r="AX207" s="82"/>
      <c r="AY207" s="82"/>
      <c r="AZ207" s="82"/>
      <c r="BA207" s="82"/>
      <c r="BB207" s="82"/>
      <c r="BC207">
        <v>142</v>
      </c>
      <c r="BD207" s="81" t="str">
        <f>REPLACE(INDEX(GroupVertices[Group],MATCH(Edges[[#This Row],[Vertex 1]],GroupVertices[Vertex],0)),1,1,"")</f>
        <v>2</v>
      </c>
      <c r="BE207" s="81" t="str">
        <f>REPLACE(INDEX(GroupVertices[Group],MATCH(Edges[[#This Row],[Vertex 2]],GroupVertices[Vertex],0)),1,1,"")</f>
        <v>2</v>
      </c>
      <c r="BF207" s="49">
        <v>0</v>
      </c>
      <c r="BG207" s="50">
        <v>0</v>
      </c>
      <c r="BH207" s="49">
        <v>1</v>
      </c>
      <c r="BI207" s="50">
        <v>5</v>
      </c>
      <c r="BJ207" s="49">
        <v>0</v>
      </c>
      <c r="BK207" s="50">
        <v>0</v>
      </c>
      <c r="BL207" s="49">
        <v>19</v>
      </c>
      <c r="BM207" s="50">
        <v>95</v>
      </c>
      <c r="BN207" s="49">
        <v>20</v>
      </c>
    </row>
    <row r="208" spans="1:66" ht="15">
      <c r="A208" s="66" t="s">
        <v>305</v>
      </c>
      <c r="B208" s="66" t="s">
        <v>305</v>
      </c>
      <c r="C208" s="67" t="s">
        <v>2140</v>
      </c>
      <c r="D208" s="68">
        <v>3</v>
      </c>
      <c r="E208" s="69" t="s">
        <v>136</v>
      </c>
      <c r="F208" s="70">
        <v>6</v>
      </c>
      <c r="G208" s="67"/>
      <c r="H208" s="71"/>
      <c r="I208" s="72"/>
      <c r="J208" s="72"/>
      <c r="K208" s="35" t="s">
        <v>65</v>
      </c>
      <c r="L208" s="80">
        <v>208</v>
      </c>
      <c r="M208" s="80"/>
      <c r="N208" s="74"/>
      <c r="O208" s="82" t="s">
        <v>211</v>
      </c>
      <c r="P208" s="84">
        <v>44728.47332175926</v>
      </c>
      <c r="Q208" s="82" t="s">
        <v>466</v>
      </c>
      <c r="R208" s="82"/>
      <c r="S208" s="82"/>
      <c r="T208" s="82"/>
      <c r="U208" s="82"/>
      <c r="V208" s="85" t="str">
        <f>HYPERLINK("https://pbs.twimg.com/profile_images/825717962481029123/h6cXfTnb_normal.jpg")</f>
        <v>https://pbs.twimg.com/profile_images/825717962481029123/h6cXfTnb_normal.jpg</v>
      </c>
      <c r="W208" s="84">
        <v>44728.47332175926</v>
      </c>
      <c r="X208" s="89">
        <v>44728</v>
      </c>
      <c r="Y208" s="87" t="s">
        <v>634</v>
      </c>
      <c r="Z208" s="85" t="str">
        <f>HYPERLINK("https://twitter.com/chombotofficial/status/1537394954036826112")</f>
        <v>https://twitter.com/chombotofficial/status/1537394954036826112</v>
      </c>
      <c r="AA208" s="82"/>
      <c r="AB208" s="82"/>
      <c r="AC208" s="87" t="s">
        <v>885</v>
      </c>
      <c r="AD208" s="82"/>
      <c r="AE208" s="82" t="b">
        <v>0</v>
      </c>
      <c r="AF208" s="82">
        <v>0</v>
      </c>
      <c r="AG208" s="87" t="s">
        <v>957</v>
      </c>
      <c r="AH208" s="82" t="b">
        <v>0</v>
      </c>
      <c r="AI208" s="82" t="s">
        <v>973</v>
      </c>
      <c r="AJ208" s="82"/>
      <c r="AK208" s="87" t="s">
        <v>957</v>
      </c>
      <c r="AL208" s="82" t="b">
        <v>0</v>
      </c>
      <c r="AM208" s="82">
        <v>0</v>
      </c>
      <c r="AN208" s="87" t="s">
        <v>957</v>
      </c>
      <c r="AO208" s="87" t="s">
        <v>305</v>
      </c>
      <c r="AP208" s="82" t="b">
        <v>0</v>
      </c>
      <c r="AQ208" s="87" t="s">
        <v>885</v>
      </c>
      <c r="AR208" s="82" t="s">
        <v>211</v>
      </c>
      <c r="AS208" s="82">
        <v>0</v>
      </c>
      <c r="AT208" s="82">
        <v>0</v>
      </c>
      <c r="AU208" s="82"/>
      <c r="AV208" s="82"/>
      <c r="AW208" s="82"/>
      <c r="AX208" s="82"/>
      <c r="AY208" s="82"/>
      <c r="AZ208" s="82"/>
      <c r="BA208" s="82"/>
      <c r="BB208" s="82"/>
      <c r="BC208">
        <v>142</v>
      </c>
      <c r="BD208" s="81" t="str">
        <f>REPLACE(INDEX(GroupVertices[Group],MATCH(Edges[[#This Row],[Vertex 1]],GroupVertices[Vertex],0)),1,1,"")</f>
        <v>2</v>
      </c>
      <c r="BE208" s="81" t="str">
        <f>REPLACE(INDEX(GroupVertices[Group],MATCH(Edges[[#This Row],[Vertex 2]],GroupVertices[Vertex],0)),1,1,"")</f>
        <v>2</v>
      </c>
      <c r="BF208" s="49">
        <v>0</v>
      </c>
      <c r="BG208" s="50">
        <v>0</v>
      </c>
      <c r="BH208" s="49">
        <v>0</v>
      </c>
      <c r="BI208" s="50">
        <v>0</v>
      </c>
      <c r="BJ208" s="49">
        <v>0</v>
      </c>
      <c r="BK208" s="50">
        <v>0</v>
      </c>
      <c r="BL208" s="49">
        <v>16</v>
      </c>
      <c r="BM208" s="50">
        <v>100</v>
      </c>
      <c r="BN208" s="49">
        <v>16</v>
      </c>
    </row>
    <row r="209" spans="1:66" ht="15">
      <c r="A209" s="66" t="s">
        <v>305</v>
      </c>
      <c r="B209" s="66" t="s">
        <v>305</v>
      </c>
      <c r="C209" s="67" t="s">
        <v>2140</v>
      </c>
      <c r="D209" s="68">
        <v>3</v>
      </c>
      <c r="E209" s="69" t="s">
        <v>136</v>
      </c>
      <c r="F209" s="70">
        <v>6</v>
      </c>
      <c r="G209" s="67"/>
      <c r="H209" s="71"/>
      <c r="I209" s="72"/>
      <c r="J209" s="72"/>
      <c r="K209" s="35" t="s">
        <v>65</v>
      </c>
      <c r="L209" s="80">
        <v>209</v>
      </c>
      <c r="M209" s="80"/>
      <c r="N209" s="74"/>
      <c r="O209" s="82" t="s">
        <v>211</v>
      </c>
      <c r="P209" s="84">
        <v>44728.56707175926</v>
      </c>
      <c r="Q209" s="82" t="s">
        <v>467</v>
      </c>
      <c r="R209" s="82"/>
      <c r="S209" s="82"/>
      <c r="T209" s="82"/>
      <c r="U209" s="82"/>
      <c r="V209" s="85" t="str">
        <f>HYPERLINK("https://pbs.twimg.com/profile_images/825717962481029123/h6cXfTnb_normal.jpg")</f>
        <v>https://pbs.twimg.com/profile_images/825717962481029123/h6cXfTnb_normal.jpg</v>
      </c>
      <c r="W209" s="84">
        <v>44728.56707175926</v>
      </c>
      <c r="X209" s="89">
        <v>44728</v>
      </c>
      <c r="Y209" s="87" t="s">
        <v>687</v>
      </c>
      <c r="Z209" s="85" t="str">
        <f>HYPERLINK("https://twitter.com/chombotofficial/status/1537428928448540678")</f>
        <v>https://twitter.com/chombotofficial/status/1537428928448540678</v>
      </c>
      <c r="AA209" s="82"/>
      <c r="AB209" s="82"/>
      <c r="AC209" s="87" t="s">
        <v>886</v>
      </c>
      <c r="AD209" s="82"/>
      <c r="AE209" s="82" t="b">
        <v>0</v>
      </c>
      <c r="AF209" s="82">
        <v>0</v>
      </c>
      <c r="AG209" s="87" t="s">
        <v>957</v>
      </c>
      <c r="AH209" s="82" t="b">
        <v>0</v>
      </c>
      <c r="AI209" s="82" t="s">
        <v>973</v>
      </c>
      <c r="AJ209" s="82"/>
      <c r="AK209" s="87" t="s">
        <v>957</v>
      </c>
      <c r="AL209" s="82" t="b">
        <v>0</v>
      </c>
      <c r="AM209" s="82">
        <v>0</v>
      </c>
      <c r="AN209" s="87" t="s">
        <v>957</v>
      </c>
      <c r="AO209" s="87" t="s">
        <v>305</v>
      </c>
      <c r="AP209" s="82" t="b">
        <v>0</v>
      </c>
      <c r="AQ209" s="87" t="s">
        <v>886</v>
      </c>
      <c r="AR209" s="82" t="s">
        <v>211</v>
      </c>
      <c r="AS209" s="82">
        <v>0</v>
      </c>
      <c r="AT209" s="82">
        <v>0</v>
      </c>
      <c r="AU209" s="82"/>
      <c r="AV209" s="82"/>
      <c r="AW209" s="82"/>
      <c r="AX209" s="82"/>
      <c r="AY209" s="82"/>
      <c r="AZ209" s="82"/>
      <c r="BA209" s="82"/>
      <c r="BB209" s="82"/>
      <c r="BC209">
        <v>142</v>
      </c>
      <c r="BD209" s="81" t="str">
        <f>REPLACE(INDEX(GroupVertices[Group],MATCH(Edges[[#This Row],[Vertex 1]],GroupVertices[Vertex],0)),1,1,"")</f>
        <v>2</v>
      </c>
      <c r="BE209" s="81" t="str">
        <f>REPLACE(INDEX(GroupVertices[Group],MATCH(Edges[[#This Row],[Vertex 2]],GroupVertices[Vertex],0)),1,1,"")</f>
        <v>2</v>
      </c>
      <c r="BF209" s="49">
        <v>0</v>
      </c>
      <c r="BG209" s="50">
        <v>0</v>
      </c>
      <c r="BH209" s="49">
        <v>3</v>
      </c>
      <c r="BI209" s="50">
        <v>14.285714285714286</v>
      </c>
      <c r="BJ209" s="49">
        <v>0</v>
      </c>
      <c r="BK209" s="50">
        <v>0</v>
      </c>
      <c r="BL209" s="49">
        <v>18</v>
      </c>
      <c r="BM209" s="50">
        <v>85.71428571428571</v>
      </c>
      <c r="BN209" s="49">
        <v>21</v>
      </c>
    </row>
    <row r="210" spans="1:66" ht="15">
      <c r="A210" s="66" t="s">
        <v>305</v>
      </c>
      <c r="B210" s="66" t="s">
        <v>305</v>
      </c>
      <c r="C210" s="67" t="s">
        <v>2140</v>
      </c>
      <c r="D210" s="68">
        <v>3</v>
      </c>
      <c r="E210" s="69" t="s">
        <v>136</v>
      </c>
      <c r="F210" s="70">
        <v>6</v>
      </c>
      <c r="G210" s="67"/>
      <c r="H210" s="71"/>
      <c r="I210" s="72"/>
      <c r="J210" s="72"/>
      <c r="K210" s="35" t="s">
        <v>65</v>
      </c>
      <c r="L210" s="80">
        <v>210</v>
      </c>
      <c r="M210" s="80"/>
      <c r="N210" s="74"/>
      <c r="O210" s="82" t="s">
        <v>211</v>
      </c>
      <c r="P210" s="84">
        <v>44728.61221064815</v>
      </c>
      <c r="Q210" s="82" t="s">
        <v>468</v>
      </c>
      <c r="R210" s="82"/>
      <c r="S210" s="82"/>
      <c r="T210" s="82"/>
      <c r="U210" s="82"/>
      <c r="V210" s="85" t="str">
        <f>HYPERLINK("https://pbs.twimg.com/profile_images/825717962481029123/h6cXfTnb_normal.jpg")</f>
        <v>https://pbs.twimg.com/profile_images/825717962481029123/h6cXfTnb_normal.jpg</v>
      </c>
      <c r="W210" s="84">
        <v>44728.61221064815</v>
      </c>
      <c r="X210" s="89">
        <v>44728</v>
      </c>
      <c r="Y210" s="87" t="s">
        <v>688</v>
      </c>
      <c r="Z210" s="85" t="str">
        <f>HYPERLINK("https://twitter.com/chombotofficial/status/1537445287261655041")</f>
        <v>https://twitter.com/chombotofficial/status/1537445287261655041</v>
      </c>
      <c r="AA210" s="82"/>
      <c r="AB210" s="82"/>
      <c r="AC210" s="87" t="s">
        <v>887</v>
      </c>
      <c r="AD210" s="82"/>
      <c r="AE210" s="82" t="b">
        <v>0</v>
      </c>
      <c r="AF210" s="82">
        <v>0</v>
      </c>
      <c r="AG210" s="87" t="s">
        <v>957</v>
      </c>
      <c r="AH210" s="82" t="b">
        <v>0</v>
      </c>
      <c r="AI210" s="82" t="s">
        <v>973</v>
      </c>
      <c r="AJ210" s="82"/>
      <c r="AK210" s="87" t="s">
        <v>957</v>
      </c>
      <c r="AL210" s="82" t="b">
        <v>0</v>
      </c>
      <c r="AM210" s="82">
        <v>0</v>
      </c>
      <c r="AN210" s="87" t="s">
        <v>957</v>
      </c>
      <c r="AO210" s="87" t="s">
        <v>305</v>
      </c>
      <c r="AP210" s="82" t="b">
        <v>0</v>
      </c>
      <c r="AQ210" s="87" t="s">
        <v>887</v>
      </c>
      <c r="AR210" s="82" t="s">
        <v>211</v>
      </c>
      <c r="AS210" s="82">
        <v>0</v>
      </c>
      <c r="AT210" s="82">
        <v>0</v>
      </c>
      <c r="AU210" s="82"/>
      <c r="AV210" s="82"/>
      <c r="AW210" s="82"/>
      <c r="AX210" s="82"/>
      <c r="AY210" s="82"/>
      <c r="AZ210" s="82"/>
      <c r="BA210" s="82"/>
      <c r="BB210" s="82"/>
      <c r="BC210">
        <v>142</v>
      </c>
      <c r="BD210" s="81" t="str">
        <f>REPLACE(INDEX(GroupVertices[Group],MATCH(Edges[[#This Row],[Vertex 1]],GroupVertices[Vertex],0)),1,1,"")</f>
        <v>2</v>
      </c>
      <c r="BE210" s="81" t="str">
        <f>REPLACE(INDEX(GroupVertices[Group],MATCH(Edges[[#This Row],[Vertex 2]],GroupVertices[Vertex],0)),1,1,"")</f>
        <v>2</v>
      </c>
      <c r="BF210" s="49">
        <v>0</v>
      </c>
      <c r="BG210" s="50">
        <v>0</v>
      </c>
      <c r="BH210" s="49">
        <v>0</v>
      </c>
      <c r="BI210" s="50">
        <v>0</v>
      </c>
      <c r="BJ210" s="49">
        <v>0</v>
      </c>
      <c r="BK210" s="50">
        <v>0</v>
      </c>
      <c r="BL210" s="49">
        <v>10</v>
      </c>
      <c r="BM210" s="50">
        <v>100</v>
      </c>
      <c r="BN210" s="49">
        <v>10</v>
      </c>
    </row>
    <row r="211" spans="1:66" ht="15">
      <c r="A211" s="66" t="s">
        <v>305</v>
      </c>
      <c r="B211" s="66" t="s">
        <v>305</v>
      </c>
      <c r="C211" s="67" t="s">
        <v>2140</v>
      </c>
      <c r="D211" s="68">
        <v>3</v>
      </c>
      <c r="E211" s="69" t="s">
        <v>136</v>
      </c>
      <c r="F211" s="70">
        <v>6</v>
      </c>
      <c r="G211" s="67"/>
      <c r="H211" s="71"/>
      <c r="I211" s="72"/>
      <c r="J211" s="72"/>
      <c r="K211" s="35" t="s">
        <v>65</v>
      </c>
      <c r="L211" s="80">
        <v>211</v>
      </c>
      <c r="M211" s="80"/>
      <c r="N211" s="74"/>
      <c r="O211" s="82" t="s">
        <v>211</v>
      </c>
      <c r="P211" s="84">
        <v>44728.619155092594</v>
      </c>
      <c r="Q211" s="82" t="s">
        <v>469</v>
      </c>
      <c r="R211" s="82"/>
      <c r="S211" s="82"/>
      <c r="T211" s="82"/>
      <c r="U211" s="82"/>
      <c r="V211" s="85" t="str">
        <f>HYPERLINK("https://pbs.twimg.com/profile_images/825717962481029123/h6cXfTnb_normal.jpg")</f>
        <v>https://pbs.twimg.com/profile_images/825717962481029123/h6cXfTnb_normal.jpg</v>
      </c>
      <c r="W211" s="84">
        <v>44728.619155092594</v>
      </c>
      <c r="X211" s="89">
        <v>44728</v>
      </c>
      <c r="Y211" s="87" t="s">
        <v>659</v>
      </c>
      <c r="Z211" s="85" t="str">
        <f>HYPERLINK("https://twitter.com/chombotofficial/status/1537447805827969025")</f>
        <v>https://twitter.com/chombotofficial/status/1537447805827969025</v>
      </c>
      <c r="AA211" s="82"/>
      <c r="AB211" s="82"/>
      <c r="AC211" s="87" t="s">
        <v>888</v>
      </c>
      <c r="AD211" s="82"/>
      <c r="AE211" s="82" t="b">
        <v>0</v>
      </c>
      <c r="AF211" s="82">
        <v>0</v>
      </c>
      <c r="AG211" s="87" t="s">
        <v>957</v>
      </c>
      <c r="AH211" s="82" t="b">
        <v>0</v>
      </c>
      <c r="AI211" s="82" t="s">
        <v>973</v>
      </c>
      <c r="AJ211" s="82"/>
      <c r="AK211" s="87" t="s">
        <v>957</v>
      </c>
      <c r="AL211" s="82" t="b">
        <v>0</v>
      </c>
      <c r="AM211" s="82">
        <v>0</v>
      </c>
      <c r="AN211" s="87" t="s">
        <v>957</v>
      </c>
      <c r="AO211" s="87" t="s">
        <v>305</v>
      </c>
      <c r="AP211" s="82" t="b">
        <v>0</v>
      </c>
      <c r="AQ211" s="87" t="s">
        <v>888</v>
      </c>
      <c r="AR211" s="82" t="s">
        <v>211</v>
      </c>
      <c r="AS211" s="82">
        <v>0</v>
      </c>
      <c r="AT211" s="82">
        <v>0</v>
      </c>
      <c r="AU211" s="82"/>
      <c r="AV211" s="82"/>
      <c r="AW211" s="82"/>
      <c r="AX211" s="82"/>
      <c r="AY211" s="82"/>
      <c r="AZ211" s="82"/>
      <c r="BA211" s="82"/>
      <c r="BB211" s="82"/>
      <c r="BC211">
        <v>142</v>
      </c>
      <c r="BD211" s="81" t="str">
        <f>REPLACE(INDEX(GroupVertices[Group],MATCH(Edges[[#This Row],[Vertex 1]],GroupVertices[Vertex],0)),1,1,"")</f>
        <v>2</v>
      </c>
      <c r="BE211" s="81" t="str">
        <f>REPLACE(INDEX(GroupVertices[Group],MATCH(Edges[[#This Row],[Vertex 2]],GroupVertices[Vertex],0)),1,1,"")</f>
        <v>2</v>
      </c>
      <c r="BF211" s="49">
        <v>0</v>
      </c>
      <c r="BG211" s="50">
        <v>0</v>
      </c>
      <c r="BH211" s="49">
        <v>0</v>
      </c>
      <c r="BI211" s="50">
        <v>0</v>
      </c>
      <c r="BJ211" s="49">
        <v>0</v>
      </c>
      <c r="BK211" s="50">
        <v>0</v>
      </c>
      <c r="BL211" s="49">
        <v>17</v>
      </c>
      <c r="BM211" s="50">
        <v>100</v>
      </c>
      <c r="BN211" s="49">
        <v>17</v>
      </c>
    </row>
    <row r="212" spans="1:66" ht="15">
      <c r="A212" s="66" t="s">
        <v>305</v>
      </c>
      <c r="B212" s="66" t="s">
        <v>305</v>
      </c>
      <c r="C212" s="67" t="s">
        <v>2140</v>
      </c>
      <c r="D212" s="68">
        <v>3</v>
      </c>
      <c r="E212" s="69" t="s">
        <v>136</v>
      </c>
      <c r="F212" s="70">
        <v>6</v>
      </c>
      <c r="G212" s="67"/>
      <c r="H212" s="71"/>
      <c r="I212" s="72"/>
      <c r="J212" s="72"/>
      <c r="K212" s="35" t="s">
        <v>65</v>
      </c>
      <c r="L212" s="80">
        <v>212</v>
      </c>
      <c r="M212" s="80"/>
      <c r="N212" s="74"/>
      <c r="O212" s="82" t="s">
        <v>211</v>
      </c>
      <c r="P212" s="84">
        <v>44728.75457175926</v>
      </c>
      <c r="Q212" s="82" t="s">
        <v>470</v>
      </c>
      <c r="R212" s="82"/>
      <c r="S212" s="82"/>
      <c r="T212" s="82"/>
      <c r="U212" s="82"/>
      <c r="V212" s="85" t="str">
        <f>HYPERLINK("https://pbs.twimg.com/profile_images/825717962481029123/h6cXfTnb_normal.jpg")</f>
        <v>https://pbs.twimg.com/profile_images/825717962481029123/h6cXfTnb_normal.jpg</v>
      </c>
      <c r="W212" s="84">
        <v>44728.75457175926</v>
      </c>
      <c r="X212" s="89">
        <v>44728</v>
      </c>
      <c r="Y212" s="87" t="s">
        <v>689</v>
      </c>
      <c r="Z212" s="85" t="str">
        <f>HYPERLINK("https://twitter.com/chombotofficial/status/1537496875586158596")</f>
        <v>https://twitter.com/chombotofficial/status/1537496875586158596</v>
      </c>
      <c r="AA212" s="82"/>
      <c r="AB212" s="82"/>
      <c r="AC212" s="87" t="s">
        <v>889</v>
      </c>
      <c r="AD212" s="82"/>
      <c r="AE212" s="82" t="b">
        <v>0</v>
      </c>
      <c r="AF212" s="82">
        <v>0</v>
      </c>
      <c r="AG212" s="87" t="s">
        <v>957</v>
      </c>
      <c r="AH212" s="82" t="b">
        <v>0</v>
      </c>
      <c r="AI212" s="82" t="s">
        <v>973</v>
      </c>
      <c r="AJ212" s="82"/>
      <c r="AK212" s="87" t="s">
        <v>957</v>
      </c>
      <c r="AL212" s="82" t="b">
        <v>0</v>
      </c>
      <c r="AM212" s="82">
        <v>0</v>
      </c>
      <c r="AN212" s="87" t="s">
        <v>957</v>
      </c>
      <c r="AO212" s="87" t="s">
        <v>305</v>
      </c>
      <c r="AP212" s="82" t="b">
        <v>0</v>
      </c>
      <c r="AQ212" s="87" t="s">
        <v>889</v>
      </c>
      <c r="AR212" s="82" t="s">
        <v>211</v>
      </c>
      <c r="AS212" s="82">
        <v>0</v>
      </c>
      <c r="AT212" s="82">
        <v>0</v>
      </c>
      <c r="AU212" s="82"/>
      <c r="AV212" s="82"/>
      <c r="AW212" s="82"/>
      <c r="AX212" s="82"/>
      <c r="AY212" s="82"/>
      <c r="AZ212" s="82"/>
      <c r="BA212" s="82"/>
      <c r="BB212" s="82"/>
      <c r="BC212">
        <v>142</v>
      </c>
      <c r="BD212" s="81" t="str">
        <f>REPLACE(INDEX(GroupVertices[Group],MATCH(Edges[[#This Row],[Vertex 1]],GroupVertices[Vertex],0)),1,1,"")</f>
        <v>2</v>
      </c>
      <c r="BE212" s="81" t="str">
        <f>REPLACE(INDEX(GroupVertices[Group],MATCH(Edges[[#This Row],[Vertex 2]],GroupVertices[Vertex],0)),1,1,"")</f>
        <v>2</v>
      </c>
      <c r="BF212" s="49">
        <v>1</v>
      </c>
      <c r="BG212" s="50">
        <v>7.6923076923076925</v>
      </c>
      <c r="BH212" s="49">
        <v>0</v>
      </c>
      <c r="BI212" s="50">
        <v>0</v>
      </c>
      <c r="BJ212" s="49">
        <v>0</v>
      </c>
      <c r="BK212" s="50">
        <v>0</v>
      </c>
      <c r="BL212" s="49">
        <v>12</v>
      </c>
      <c r="BM212" s="50">
        <v>92.3076923076923</v>
      </c>
      <c r="BN212" s="49">
        <v>13</v>
      </c>
    </row>
    <row r="213" spans="1:66" ht="15">
      <c r="A213" s="66" t="s">
        <v>305</v>
      </c>
      <c r="B213" s="66" t="s">
        <v>305</v>
      </c>
      <c r="C213" s="67" t="s">
        <v>2140</v>
      </c>
      <c r="D213" s="68">
        <v>3</v>
      </c>
      <c r="E213" s="69" t="s">
        <v>136</v>
      </c>
      <c r="F213" s="70">
        <v>6</v>
      </c>
      <c r="G213" s="67"/>
      <c r="H213" s="71"/>
      <c r="I213" s="72"/>
      <c r="J213" s="72"/>
      <c r="K213" s="35" t="s">
        <v>65</v>
      </c>
      <c r="L213" s="80">
        <v>213</v>
      </c>
      <c r="M213" s="80"/>
      <c r="N213" s="74"/>
      <c r="O213" s="82" t="s">
        <v>211</v>
      </c>
      <c r="P213" s="84">
        <v>44728.77193287037</v>
      </c>
      <c r="Q213" s="82" t="s">
        <v>471</v>
      </c>
      <c r="R213" s="82"/>
      <c r="S213" s="82"/>
      <c r="T213" s="82"/>
      <c r="U213" s="82"/>
      <c r="V213" s="85" t="str">
        <f>HYPERLINK("https://pbs.twimg.com/profile_images/825717962481029123/h6cXfTnb_normal.jpg")</f>
        <v>https://pbs.twimg.com/profile_images/825717962481029123/h6cXfTnb_normal.jpg</v>
      </c>
      <c r="W213" s="84">
        <v>44728.77193287037</v>
      </c>
      <c r="X213" s="89">
        <v>44728</v>
      </c>
      <c r="Y213" s="87" t="s">
        <v>690</v>
      </c>
      <c r="Z213" s="85" t="str">
        <f>HYPERLINK("https://twitter.com/chombotofficial/status/1537503169760083970")</f>
        <v>https://twitter.com/chombotofficial/status/1537503169760083970</v>
      </c>
      <c r="AA213" s="82"/>
      <c r="AB213" s="82"/>
      <c r="AC213" s="87" t="s">
        <v>890</v>
      </c>
      <c r="AD213" s="82"/>
      <c r="AE213" s="82" t="b">
        <v>0</v>
      </c>
      <c r="AF213" s="82">
        <v>0</v>
      </c>
      <c r="AG213" s="87" t="s">
        <v>957</v>
      </c>
      <c r="AH213" s="82" t="b">
        <v>0</v>
      </c>
      <c r="AI213" s="82" t="s">
        <v>973</v>
      </c>
      <c r="AJ213" s="82"/>
      <c r="AK213" s="87" t="s">
        <v>957</v>
      </c>
      <c r="AL213" s="82" t="b">
        <v>0</v>
      </c>
      <c r="AM213" s="82">
        <v>0</v>
      </c>
      <c r="AN213" s="87" t="s">
        <v>957</v>
      </c>
      <c r="AO213" s="87" t="s">
        <v>305</v>
      </c>
      <c r="AP213" s="82" t="b">
        <v>0</v>
      </c>
      <c r="AQ213" s="87" t="s">
        <v>890</v>
      </c>
      <c r="AR213" s="82" t="s">
        <v>211</v>
      </c>
      <c r="AS213" s="82">
        <v>0</v>
      </c>
      <c r="AT213" s="82">
        <v>0</v>
      </c>
      <c r="AU213" s="82"/>
      <c r="AV213" s="82"/>
      <c r="AW213" s="82"/>
      <c r="AX213" s="82"/>
      <c r="AY213" s="82"/>
      <c r="AZ213" s="82"/>
      <c r="BA213" s="82"/>
      <c r="BB213" s="82"/>
      <c r="BC213">
        <v>142</v>
      </c>
      <c r="BD213" s="81" t="str">
        <f>REPLACE(INDEX(GroupVertices[Group],MATCH(Edges[[#This Row],[Vertex 1]],GroupVertices[Vertex],0)),1,1,"")</f>
        <v>2</v>
      </c>
      <c r="BE213" s="81" t="str">
        <f>REPLACE(INDEX(GroupVertices[Group],MATCH(Edges[[#This Row],[Vertex 2]],GroupVertices[Vertex],0)),1,1,"")</f>
        <v>2</v>
      </c>
      <c r="BF213" s="49">
        <v>0</v>
      </c>
      <c r="BG213" s="50">
        <v>0</v>
      </c>
      <c r="BH213" s="49">
        <v>1</v>
      </c>
      <c r="BI213" s="50">
        <v>5.555555555555555</v>
      </c>
      <c r="BJ213" s="49">
        <v>0</v>
      </c>
      <c r="BK213" s="50">
        <v>0</v>
      </c>
      <c r="BL213" s="49">
        <v>17</v>
      </c>
      <c r="BM213" s="50">
        <v>94.44444444444444</v>
      </c>
      <c r="BN213" s="49">
        <v>18</v>
      </c>
    </row>
    <row r="214" spans="1:66" ht="15">
      <c r="A214" s="66" t="s">
        <v>305</v>
      </c>
      <c r="B214" s="66" t="s">
        <v>305</v>
      </c>
      <c r="C214" s="67" t="s">
        <v>2140</v>
      </c>
      <c r="D214" s="68">
        <v>3</v>
      </c>
      <c r="E214" s="69" t="s">
        <v>136</v>
      </c>
      <c r="F214" s="70">
        <v>6</v>
      </c>
      <c r="G214" s="67"/>
      <c r="H214" s="71"/>
      <c r="I214" s="72"/>
      <c r="J214" s="72"/>
      <c r="K214" s="35" t="s">
        <v>65</v>
      </c>
      <c r="L214" s="80">
        <v>214</v>
      </c>
      <c r="M214" s="80"/>
      <c r="N214" s="74"/>
      <c r="O214" s="82" t="s">
        <v>211</v>
      </c>
      <c r="P214" s="84">
        <v>44728.80318287037</v>
      </c>
      <c r="Q214" s="82" t="s">
        <v>472</v>
      </c>
      <c r="R214" s="82"/>
      <c r="S214" s="82"/>
      <c r="T214" s="82"/>
      <c r="U214" s="82"/>
      <c r="V214" s="85" t="str">
        <f>HYPERLINK("https://pbs.twimg.com/profile_images/825717962481029123/h6cXfTnb_normal.jpg")</f>
        <v>https://pbs.twimg.com/profile_images/825717962481029123/h6cXfTnb_normal.jpg</v>
      </c>
      <c r="W214" s="84">
        <v>44728.80318287037</v>
      </c>
      <c r="X214" s="89">
        <v>44728</v>
      </c>
      <c r="Y214" s="87" t="s">
        <v>691</v>
      </c>
      <c r="Z214" s="85" t="str">
        <f>HYPERLINK("https://twitter.com/chombotofficial/status/1537514491440730125")</f>
        <v>https://twitter.com/chombotofficial/status/1537514491440730125</v>
      </c>
      <c r="AA214" s="82"/>
      <c r="AB214" s="82"/>
      <c r="AC214" s="87" t="s">
        <v>891</v>
      </c>
      <c r="AD214" s="82"/>
      <c r="AE214" s="82" t="b">
        <v>0</v>
      </c>
      <c r="AF214" s="82">
        <v>0</v>
      </c>
      <c r="AG214" s="87" t="s">
        <v>957</v>
      </c>
      <c r="AH214" s="82" t="b">
        <v>0</v>
      </c>
      <c r="AI214" s="82" t="s">
        <v>973</v>
      </c>
      <c r="AJ214" s="82"/>
      <c r="AK214" s="87" t="s">
        <v>957</v>
      </c>
      <c r="AL214" s="82" t="b">
        <v>0</v>
      </c>
      <c r="AM214" s="82">
        <v>0</v>
      </c>
      <c r="AN214" s="87" t="s">
        <v>957</v>
      </c>
      <c r="AO214" s="87" t="s">
        <v>305</v>
      </c>
      <c r="AP214" s="82" t="b">
        <v>0</v>
      </c>
      <c r="AQ214" s="87" t="s">
        <v>891</v>
      </c>
      <c r="AR214" s="82" t="s">
        <v>211</v>
      </c>
      <c r="AS214" s="82">
        <v>0</v>
      </c>
      <c r="AT214" s="82">
        <v>0</v>
      </c>
      <c r="AU214" s="82"/>
      <c r="AV214" s="82"/>
      <c r="AW214" s="82"/>
      <c r="AX214" s="82"/>
      <c r="AY214" s="82"/>
      <c r="AZ214" s="82"/>
      <c r="BA214" s="82"/>
      <c r="BB214" s="82"/>
      <c r="BC214">
        <v>142</v>
      </c>
      <c r="BD214" s="81" t="str">
        <f>REPLACE(INDEX(GroupVertices[Group],MATCH(Edges[[#This Row],[Vertex 1]],GroupVertices[Vertex],0)),1,1,"")</f>
        <v>2</v>
      </c>
      <c r="BE214" s="81" t="str">
        <f>REPLACE(INDEX(GroupVertices[Group],MATCH(Edges[[#This Row],[Vertex 2]],GroupVertices[Vertex],0)),1,1,"")</f>
        <v>2</v>
      </c>
      <c r="BF214" s="49">
        <v>0</v>
      </c>
      <c r="BG214" s="50">
        <v>0</v>
      </c>
      <c r="BH214" s="49">
        <v>2</v>
      </c>
      <c r="BI214" s="50">
        <v>10</v>
      </c>
      <c r="BJ214" s="49">
        <v>0</v>
      </c>
      <c r="BK214" s="50">
        <v>0</v>
      </c>
      <c r="BL214" s="49">
        <v>18</v>
      </c>
      <c r="BM214" s="50">
        <v>90</v>
      </c>
      <c r="BN214" s="49">
        <v>20</v>
      </c>
    </row>
    <row r="215" spans="1:66" ht="15">
      <c r="A215" s="66" t="s">
        <v>305</v>
      </c>
      <c r="B215" s="66" t="s">
        <v>305</v>
      </c>
      <c r="C215" s="67" t="s">
        <v>2140</v>
      </c>
      <c r="D215" s="68">
        <v>3</v>
      </c>
      <c r="E215" s="69" t="s">
        <v>136</v>
      </c>
      <c r="F215" s="70">
        <v>6</v>
      </c>
      <c r="G215" s="67"/>
      <c r="H215" s="71"/>
      <c r="I215" s="72"/>
      <c r="J215" s="72"/>
      <c r="K215" s="35" t="s">
        <v>65</v>
      </c>
      <c r="L215" s="80">
        <v>215</v>
      </c>
      <c r="M215" s="80"/>
      <c r="N215" s="74"/>
      <c r="O215" s="82" t="s">
        <v>211</v>
      </c>
      <c r="P215" s="84">
        <v>44728.86568287037</v>
      </c>
      <c r="Q215" s="82" t="s">
        <v>473</v>
      </c>
      <c r="R215" s="82"/>
      <c r="S215" s="82"/>
      <c r="T215" s="82"/>
      <c r="U215" s="82"/>
      <c r="V215" s="85" t="str">
        <f>HYPERLINK("https://pbs.twimg.com/profile_images/825717962481029123/h6cXfTnb_normal.jpg")</f>
        <v>https://pbs.twimg.com/profile_images/825717962481029123/h6cXfTnb_normal.jpg</v>
      </c>
      <c r="W215" s="84">
        <v>44728.86568287037</v>
      </c>
      <c r="X215" s="89">
        <v>44728</v>
      </c>
      <c r="Y215" s="87" t="s">
        <v>692</v>
      </c>
      <c r="Z215" s="85" t="str">
        <f>HYPERLINK("https://twitter.com/chombotofficial/status/1537537141319901185")</f>
        <v>https://twitter.com/chombotofficial/status/1537537141319901185</v>
      </c>
      <c r="AA215" s="82"/>
      <c r="AB215" s="82"/>
      <c r="AC215" s="87" t="s">
        <v>892</v>
      </c>
      <c r="AD215" s="82"/>
      <c r="AE215" s="82" t="b">
        <v>0</v>
      </c>
      <c r="AF215" s="82">
        <v>0</v>
      </c>
      <c r="AG215" s="87" t="s">
        <v>957</v>
      </c>
      <c r="AH215" s="82" t="b">
        <v>0</v>
      </c>
      <c r="AI215" s="82" t="s">
        <v>973</v>
      </c>
      <c r="AJ215" s="82"/>
      <c r="AK215" s="87" t="s">
        <v>957</v>
      </c>
      <c r="AL215" s="82" t="b">
        <v>0</v>
      </c>
      <c r="AM215" s="82">
        <v>0</v>
      </c>
      <c r="AN215" s="87" t="s">
        <v>957</v>
      </c>
      <c r="AO215" s="87" t="s">
        <v>305</v>
      </c>
      <c r="AP215" s="82" t="b">
        <v>0</v>
      </c>
      <c r="AQ215" s="87" t="s">
        <v>892</v>
      </c>
      <c r="AR215" s="82" t="s">
        <v>211</v>
      </c>
      <c r="AS215" s="82">
        <v>0</v>
      </c>
      <c r="AT215" s="82">
        <v>0</v>
      </c>
      <c r="AU215" s="82"/>
      <c r="AV215" s="82"/>
      <c r="AW215" s="82"/>
      <c r="AX215" s="82"/>
      <c r="AY215" s="82"/>
      <c r="AZ215" s="82"/>
      <c r="BA215" s="82"/>
      <c r="BB215" s="82"/>
      <c r="BC215">
        <v>142</v>
      </c>
      <c r="BD215" s="81" t="str">
        <f>REPLACE(INDEX(GroupVertices[Group],MATCH(Edges[[#This Row],[Vertex 1]],GroupVertices[Vertex],0)),1,1,"")</f>
        <v>2</v>
      </c>
      <c r="BE215" s="81" t="str">
        <f>REPLACE(INDEX(GroupVertices[Group],MATCH(Edges[[#This Row],[Vertex 2]],GroupVertices[Vertex],0)),1,1,"")</f>
        <v>2</v>
      </c>
      <c r="BF215" s="49">
        <v>0</v>
      </c>
      <c r="BG215" s="50">
        <v>0</v>
      </c>
      <c r="BH215" s="49">
        <v>1</v>
      </c>
      <c r="BI215" s="50">
        <v>12.5</v>
      </c>
      <c r="BJ215" s="49">
        <v>0</v>
      </c>
      <c r="BK215" s="50">
        <v>0</v>
      </c>
      <c r="BL215" s="49">
        <v>7</v>
      </c>
      <c r="BM215" s="50">
        <v>87.5</v>
      </c>
      <c r="BN215" s="49">
        <v>8</v>
      </c>
    </row>
    <row r="216" spans="1:66" ht="15">
      <c r="A216" s="66" t="s">
        <v>305</v>
      </c>
      <c r="B216" s="66" t="s">
        <v>305</v>
      </c>
      <c r="C216" s="67" t="s">
        <v>2140</v>
      </c>
      <c r="D216" s="68">
        <v>3</v>
      </c>
      <c r="E216" s="69" t="s">
        <v>136</v>
      </c>
      <c r="F216" s="70">
        <v>6</v>
      </c>
      <c r="G216" s="67"/>
      <c r="H216" s="71"/>
      <c r="I216" s="72"/>
      <c r="J216" s="72"/>
      <c r="K216" s="35" t="s">
        <v>65</v>
      </c>
      <c r="L216" s="80">
        <v>216</v>
      </c>
      <c r="M216" s="80"/>
      <c r="N216" s="74"/>
      <c r="O216" s="82" t="s">
        <v>211</v>
      </c>
      <c r="P216" s="84">
        <v>44728.90733796296</v>
      </c>
      <c r="Q216" s="82" t="s">
        <v>474</v>
      </c>
      <c r="R216" s="82"/>
      <c r="S216" s="82"/>
      <c r="T216" s="82"/>
      <c r="U216" s="82"/>
      <c r="V216" s="85" t="str">
        <f>HYPERLINK("https://pbs.twimg.com/profile_images/825717962481029123/h6cXfTnb_normal.jpg")</f>
        <v>https://pbs.twimg.com/profile_images/825717962481029123/h6cXfTnb_normal.jpg</v>
      </c>
      <c r="W216" s="84">
        <v>44728.90733796296</v>
      </c>
      <c r="X216" s="89">
        <v>44728</v>
      </c>
      <c r="Y216" s="87" t="s">
        <v>693</v>
      </c>
      <c r="Z216" s="85" t="str">
        <f>HYPERLINK("https://twitter.com/chombotofficial/status/1537552239836991488")</f>
        <v>https://twitter.com/chombotofficial/status/1537552239836991488</v>
      </c>
      <c r="AA216" s="82"/>
      <c r="AB216" s="82"/>
      <c r="AC216" s="87" t="s">
        <v>893</v>
      </c>
      <c r="AD216" s="82"/>
      <c r="AE216" s="82" t="b">
        <v>0</v>
      </c>
      <c r="AF216" s="82">
        <v>0</v>
      </c>
      <c r="AG216" s="87" t="s">
        <v>957</v>
      </c>
      <c r="AH216" s="82" t="b">
        <v>0</v>
      </c>
      <c r="AI216" s="82" t="s">
        <v>973</v>
      </c>
      <c r="AJ216" s="82"/>
      <c r="AK216" s="87" t="s">
        <v>957</v>
      </c>
      <c r="AL216" s="82" t="b">
        <v>0</v>
      </c>
      <c r="AM216" s="82">
        <v>0</v>
      </c>
      <c r="AN216" s="87" t="s">
        <v>957</v>
      </c>
      <c r="AO216" s="87" t="s">
        <v>305</v>
      </c>
      <c r="AP216" s="82" t="b">
        <v>0</v>
      </c>
      <c r="AQ216" s="87" t="s">
        <v>893</v>
      </c>
      <c r="AR216" s="82" t="s">
        <v>211</v>
      </c>
      <c r="AS216" s="82">
        <v>0</v>
      </c>
      <c r="AT216" s="82">
        <v>0</v>
      </c>
      <c r="AU216" s="82"/>
      <c r="AV216" s="82"/>
      <c r="AW216" s="82"/>
      <c r="AX216" s="82"/>
      <c r="AY216" s="82"/>
      <c r="AZ216" s="82"/>
      <c r="BA216" s="82"/>
      <c r="BB216" s="82"/>
      <c r="BC216">
        <v>142</v>
      </c>
      <c r="BD216" s="81" t="str">
        <f>REPLACE(INDEX(GroupVertices[Group],MATCH(Edges[[#This Row],[Vertex 1]],GroupVertices[Vertex],0)),1,1,"")</f>
        <v>2</v>
      </c>
      <c r="BE216" s="81" t="str">
        <f>REPLACE(INDEX(GroupVertices[Group],MATCH(Edges[[#This Row],[Vertex 2]],GroupVertices[Vertex],0)),1,1,"")</f>
        <v>2</v>
      </c>
      <c r="BF216" s="49">
        <v>0</v>
      </c>
      <c r="BG216" s="50">
        <v>0</v>
      </c>
      <c r="BH216" s="49">
        <v>0</v>
      </c>
      <c r="BI216" s="50">
        <v>0</v>
      </c>
      <c r="BJ216" s="49">
        <v>0</v>
      </c>
      <c r="BK216" s="50">
        <v>0</v>
      </c>
      <c r="BL216" s="49">
        <v>18</v>
      </c>
      <c r="BM216" s="50">
        <v>100</v>
      </c>
      <c r="BN216" s="49">
        <v>18</v>
      </c>
    </row>
    <row r="217" spans="1:66" ht="15">
      <c r="A217" s="66" t="s">
        <v>305</v>
      </c>
      <c r="B217" s="66" t="s">
        <v>305</v>
      </c>
      <c r="C217" s="67" t="s">
        <v>2140</v>
      </c>
      <c r="D217" s="68">
        <v>3</v>
      </c>
      <c r="E217" s="69" t="s">
        <v>136</v>
      </c>
      <c r="F217" s="70">
        <v>6</v>
      </c>
      <c r="G217" s="67"/>
      <c r="H217" s="71"/>
      <c r="I217" s="72"/>
      <c r="J217" s="72"/>
      <c r="K217" s="35" t="s">
        <v>65</v>
      </c>
      <c r="L217" s="80">
        <v>217</v>
      </c>
      <c r="M217" s="80"/>
      <c r="N217" s="74"/>
      <c r="O217" s="82" t="s">
        <v>211</v>
      </c>
      <c r="P217" s="84">
        <v>44729.12957175926</v>
      </c>
      <c r="Q217" s="82" t="s">
        <v>475</v>
      </c>
      <c r="R217" s="82"/>
      <c r="S217" s="82"/>
      <c r="T217" s="82"/>
      <c r="U217" s="82"/>
      <c r="V217" s="85" t="str">
        <f>HYPERLINK("https://pbs.twimg.com/profile_images/825717962481029123/h6cXfTnb_normal.jpg")</f>
        <v>https://pbs.twimg.com/profile_images/825717962481029123/h6cXfTnb_normal.jpg</v>
      </c>
      <c r="W217" s="84">
        <v>44729.12957175926</v>
      </c>
      <c r="X217" s="89">
        <v>44729</v>
      </c>
      <c r="Y217" s="87" t="s">
        <v>694</v>
      </c>
      <c r="Z217" s="85" t="str">
        <f>HYPERLINK("https://twitter.com/chombotofficial/status/1537632773112057858")</f>
        <v>https://twitter.com/chombotofficial/status/1537632773112057858</v>
      </c>
      <c r="AA217" s="82"/>
      <c r="AB217" s="82"/>
      <c r="AC217" s="87" t="s">
        <v>894</v>
      </c>
      <c r="AD217" s="82"/>
      <c r="AE217" s="82" t="b">
        <v>0</v>
      </c>
      <c r="AF217" s="82">
        <v>0</v>
      </c>
      <c r="AG217" s="87" t="s">
        <v>957</v>
      </c>
      <c r="AH217" s="82" t="b">
        <v>0</v>
      </c>
      <c r="AI217" s="82" t="s">
        <v>973</v>
      </c>
      <c r="AJ217" s="82"/>
      <c r="AK217" s="87" t="s">
        <v>957</v>
      </c>
      <c r="AL217" s="82" t="b">
        <v>0</v>
      </c>
      <c r="AM217" s="82">
        <v>0</v>
      </c>
      <c r="AN217" s="87" t="s">
        <v>957</v>
      </c>
      <c r="AO217" s="87" t="s">
        <v>305</v>
      </c>
      <c r="AP217" s="82" t="b">
        <v>0</v>
      </c>
      <c r="AQ217" s="87" t="s">
        <v>894</v>
      </c>
      <c r="AR217" s="82" t="s">
        <v>211</v>
      </c>
      <c r="AS217" s="82">
        <v>0</v>
      </c>
      <c r="AT217" s="82">
        <v>0</v>
      </c>
      <c r="AU217" s="82"/>
      <c r="AV217" s="82"/>
      <c r="AW217" s="82"/>
      <c r="AX217" s="82"/>
      <c r="AY217" s="82"/>
      <c r="AZ217" s="82"/>
      <c r="BA217" s="82"/>
      <c r="BB217" s="82"/>
      <c r="BC217">
        <v>142</v>
      </c>
      <c r="BD217" s="81" t="str">
        <f>REPLACE(INDEX(GroupVertices[Group],MATCH(Edges[[#This Row],[Vertex 1]],GroupVertices[Vertex],0)),1,1,"")</f>
        <v>2</v>
      </c>
      <c r="BE217" s="81" t="str">
        <f>REPLACE(INDEX(GroupVertices[Group],MATCH(Edges[[#This Row],[Vertex 2]],GroupVertices[Vertex],0)),1,1,"")</f>
        <v>2</v>
      </c>
      <c r="BF217" s="49">
        <v>0</v>
      </c>
      <c r="BG217" s="50">
        <v>0</v>
      </c>
      <c r="BH217" s="49">
        <v>2</v>
      </c>
      <c r="BI217" s="50">
        <v>9.090909090909092</v>
      </c>
      <c r="BJ217" s="49">
        <v>0</v>
      </c>
      <c r="BK217" s="50">
        <v>0</v>
      </c>
      <c r="BL217" s="49">
        <v>20</v>
      </c>
      <c r="BM217" s="50">
        <v>90.9090909090909</v>
      </c>
      <c r="BN217" s="49">
        <v>22</v>
      </c>
    </row>
    <row r="218" spans="1:66" ht="15">
      <c r="A218" s="66" t="s">
        <v>305</v>
      </c>
      <c r="B218" s="66" t="s">
        <v>305</v>
      </c>
      <c r="C218" s="67" t="s">
        <v>2140</v>
      </c>
      <c r="D218" s="68">
        <v>3</v>
      </c>
      <c r="E218" s="69" t="s">
        <v>136</v>
      </c>
      <c r="F218" s="70">
        <v>6</v>
      </c>
      <c r="G218" s="67"/>
      <c r="H218" s="71"/>
      <c r="I218" s="72"/>
      <c r="J218" s="72"/>
      <c r="K218" s="35" t="s">
        <v>65</v>
      </c>
      <c r="L218" s="80">
        <v>218</v>
      </c>
      <c r="M218" s="80"/>
      <c r="N218" s="74"/>
      <c r="O218" s="82" t="s">
        <v>211</v>
      </c>
      <c r="P218" s="84">
        <v>44729.34137731481</v>
      </c>
      <c r="Q218" s="82" t="s">
        <v>476</v>
      </c>
      <c r="R218" s="82"/>
      <c r="S218" s="82"/>
      <c r="T218" s="82"/>
      <c r="U218" s="82"/>
      <c r="V218" s="85" t="str">
        <f>HYPERLINK("https://pbs.twimg.com/profile_images/825717962481029123/h6cXfTnb_normal.jpg")</f>
        <v>https://pbs.twimg.com/profile_images/825717962481029123/h6cXfTnb_normal.jpg</v>
      </c>
      <c r="W218" s="84">
        <v>44729.34137731481</v>
      </c>
      <c r="X218" s="89">
        <v>44729</v>
      </c>
      <c r="Y218" s="87" t="s">
        <v>695</v>
      </c>
      <c r="Z218" s="85" t="str">
        <f>HYPERLINK("https://twitter.com/chombotofficial/status/1537709526459330560")</f>
        <v>https://twitter.com/chombotofficial/status/1537709526459330560</v>
      </c>
      <c r="AA218" s="82"/>
      <c r="AB218" s="82"/>
      <c r="AC218" s="87" t="s">
        <v>895</v>
      </c>
      <c r="AD218" s="82"/>
      <c r="AE218" s="82" t="b">
        <v>0</v>
      </c>
      <c r="AF218" s="82">
        <v>0</v>
      </c>
      <c r="AG218" s="87" t="s">
        <v>957</v>
      </c>
      <c r="AH218" s="82" t="b">
        <v>0</v>
      </c>
      <c r="AI218" s="82" t="s">
        <v>973</v>
      </c>
      <c r="AJ218" s="82"/>
      <c r="AK218" s="87" t="s">
        <v>957</v>
      </c>
      <c r="AL218" s="82" t="b">
        <v>0</v>
      </c>
      <c r="AM218" s="82">
        <v>0</v>
      </c>
      <c r="AN218" s="87" t="s">
        <v>957</v>
      </c>
      <c r="AO218" s="87" t="s">
        <v>305</v>
      </c>
      <c r="AP218" s="82" t="b">
        <v>0</v>
      </c>
      <c r="AQ218" s="87" t="s">
        <v>895</v>
      </c>
      <c r="AR218" s="82" t="s">
        <v>211</v>
      </c>
      <c r="AS218" s="82">
        <v>0</v>
      </c>
      <c r="AT218" s="82">
        <v>0</v>
      </c>
      <c r="AU218" s="82"/>
      <c r="AV218" s="82"/>
      <c r="AW218" s="82"/>
      <c r="AX218" s="82"/>
      <c r="AY218" s="82"/>
      <c r="AZ218" s="82"/>
      <c r="BA218" s="82"/>
      <c r="BB218" s="82"/>
      <c r="BC218">
        <v>142</v>
      </c>
      <c r="BD218" s="81" t="str">
        <f>REPLACE(INDEX(GroupVertices[Group],MATCH(Edges[[#This Row],[Vertex 1]],GroupVertices[Vertex],0)),1,1,"")</f>
        <v>2</v>
      </c>
      <c r="BE218" s="81" t="str">
        <f>REPLACE(INDEX(GroupVertices[Group],MATCH(Edges[[#This Row],[Vertex 2]],GroupVertices[Vertex],0)),1,1,"")</f>
        <v>2</v>
      </c>
      <c r="BF218" s="49">
        <v>0</v>
      </c>
      <c r="BG218" s="50">
        <v>0</v>
      </c>
      <c r="BH218" s="49">
        <v>0</v>
      </c>
      <c r="BI218" s="50">
        <v>0</v>
      </c>
      <c r="BJ218" s="49">
        <v>0</v>
      </c>
      <c r="BK218" s="50">
        <v>0</v>
      </c>
      <c r="BL218" s="49">
        <v>18</v>
      </c>
      <c r="BM218" s="50">
        <v>100</v>
      </c>
      <c r="BN218" s="49">
        <v>18</v>
      </c>
    </row>
    <row r="219" spans="1:66" ht="15">
      <c r="A219" s="66" t="s">
        <v>305</v>
      </c>
      <c r="B219" s="66" t="s">
        <v>305</v>
      </c>
      <c r="C219" s="67" t="s">
        <v>2140</v>
      </c>
      <c r="D219" s="68">
        <v>3</v>
      </c>
      <c r="E219" s="69" t="s">
        <v>136</v>
      </c>
      <c r="F219" s="70">
        <v>6</v>
      </c>
      <c r="G219" s="67"/>
      <c r="H219" s="71"/>
      <c r="I219" s="72"/>
      <c r="J219" s="72"/>
      <c r="K219" s="35" t="s">
        <v>65</v>
      </c>
      <c r="L219" s="80">
        <v>219</v>
      </c>
      <c r="M219" s="80"/>
      <c r="N219" s="74"/>
      <c r="O219" s="82" t="s">
        <v>211</v>
      </c>
      <c r="P219" s="84">
        <v>44729.34831018518</v>
      </c>
      <c r="Q219" s="82" t="s">
        <v>477</v>
      </c>
      <c r="R219" s="82"/>
      <c r="S219" s="82"/>
      <c r="T219" s="82"/>
      <c r="U219" s="82"/>
      <c r="V219" s="85" t="str">
        <f>HYPERLINK("https://pbs.twimg.com/profile_images/825717962481029123/h6cXfTnb_normal.jpg")</f>
        <v>https://pbs.twimg.com/profile_images/825717962481029123/h6cXfTnb_normal.jpg</v>
      </c>
      <c r="W219" s="84">
        <v>44729.34831018518</v>
      </c>
      <c r="X219" s="89">
        <v>44729</v>
      </c>
      <c r="Y219" s="87" t="s">
        <v>696</v>
      </c>
      <c r="Z219" s="85" t="str">
        <f>HYPERLINK("https://twitter.com/chombotofficial/status/1537712042878148608")</f>
        <v>https://twitter.com/chombotofficial/status/1537712042878148608</v>
      </c>
      <c r="AA219" s="82"/>
      <c r="AB219" s="82"/>
      <c r="AC219" s="87" t="s">
        <v>896</v>
      </c>
      <c r="AD219" s="82"/>
      <c r="AE219" s="82" t="b">
        <v>0</v>
      </c>
      <c r="AF219" s="82">
        <v>0</v>
      </c>
      <c r="AG219" s="87" t="s">
        <v>957</v>
      </c>
      <c r="AH219" s="82" t="b">
        <v>0</v>
      </c>
      <c r="AI219" s="82" t="s">
        <v>973</v>
      </c>
      <c r="AJ219" s="82"/>
      <c r="AK219" s="87" t="s">
        <v>957</v>
      </c>
      <c r="AL219" s="82" t="b">
        <v>0</v>
      </c>
      <c r="AM219" s="82">
        <v>0</v>
      </c>
      <c r="AN219" s="87" t="s">
        <v>957</v>
      </c>
      <c r="AO219" s="87" t="s">
        <v>305</v>
      </c>
      <c r="AP219" s="82" t="b">
        <v>0</v>
      </c>
      <c r="AQ219" s="87" t="s">
        <v>896</v>
      </c>
      <c r="AR219" s="82" t="s">
        <v>211</v>
      </c>
      <c r="AS219" s="82">
        <v>0</v>
      </c>
      <c r="AT219" s="82">
        <v>0</v>
      </c>
      <c r="AU219" s="82"/>
      <c r="AV219" s="82"/>
      <c r="AW219" s="82"/>
      <c r="AX219" s="82"/>
      <c r="AY219" s="82"/>
      <c r="AZ219" s="82"/>
      <c r="BA219" s="82"/>
      <c r="BB219" s="82"/>
      <c r="BC219">
        <v>142</v>
      </c>
      <c r="BD219" s="81" t="str">
        <f>REPLACE(INDEX(GroupVertices[Group],MATCH(Edges[[#This Row],[Vertex 1]],GroupVertices[Vertex],0)),1,1,"")</f>
        <v>2</v>
      </c>
      <c r="BE219" s="81" t="str">
        <f>REPLACE(INDEX(GroupVertices[Group],MATCH(Edges[[#This Row],[Vertex 2]],GroupVertices[Vertex],0)),1,1,"")</f>
        <v>2</v>
      </c>
      <c r="BF219" s="49">
        <v>0</v>
      </c>
      <c r="BG219" s="50">
        <v>0</v>
      </c>
      <c r="BH219" s="49">
        <v>0</v>
      </c>
      <c r="BI219" s="50">
        <v>0</v>
      </c>
      <c r="BJ219" s="49">
        <v>0</v>
      </c>
      <c r="BK219" s="50">
        <v>0</v>
      </c>
      <c r="BL219" s="49">
        <v>18</v>
      </c>
      <c r="BM219" s="50">
        <v>100</v>
      </c>
      <c r="BN219" s="49">
        <v>18</v>
      </c>
    </row>
    <row r="220" spans="1:66" ht="15">
      <c r="A220" s="66" t="s">
        <v>305</v>
      </c>
      <c r="B220" s="66" t="s">
        <v>305</v>
      </c>
      <c r="C220" s="67" t="s">
        <v>2140</v>
      </c>
      <c r="D220" s="68">
        <v>3</v>
      </c>
      <c r="E220" s="69" t="s">
        <v>136</v>
      </c>
      <c r="F220" s="70">
        <v>6</v>
      </c>
      <c r="G220" s="67"/>
      <c r="H220" s="71"/>
      <c r="I220" s="72"/>
      <c r="J220" s="72"/>
      <c r="K220" s="35" t="s">
        <v>65</v>
      </c>
      <c r="L220" s="80">
        <v>220</v>
      </c>
      <c r="M220" s="80"/>
      <c r="N220" s="74"/>
      <c r="O220" s="82" t="s">
        <v>211</v>
      </c>
      <c r="P220" s="84">
        <v>44729.351793981485</v>
      </c>
      <c r="Q220" s="82" t="s">
        <v>478</v>
      </c>
      <c r="R220" s="82"/>
      <c r="S220" s="82"/>
      <c r="T220" s="82"/>
      <c r="U220" s="82"/>
      <c r="V220" s="85" t="str">
        <f>HYPERLINK("https://pbs.twimg.com/profile_images/825717962481029123/h6cXfTnb_normal.jpg")</f>
        <v>https://pbs.twimg.com/profile_images/825717962481029123/h6cXfTnb_normal.jpg</v>
      </c>
      <c r="W220" s="84">
        <v>44729.351793981485</v>
      </c>
      <c r="X220" s="89">
        <v>44729</v>
      </c>
      <c r="Y220" s="87" t="s">
        <v>697</v>
      </c>
      <c r="Z220" s="85" t="str">
        <f>HYPERLINK("https://twitter.com/chombotofficial/status/1537713301383176193")</f>
        <v>https://twitter.com/chombotofficial/status/1537713301383176193</v>
      </c>
      <c r="AA220" s="82"/>
      <c r="AB220" s="82"/>
      <c r="AC220" s="87" t="s">
        <v>897</v>
      </c>
      <c r="AD220" s="82"/>
      <c r="AE220" s="82" t="b">
        <v>0</v>
      </c>
      <c r="AF220" s="82">
        <v>0</v>
      </c>
      <c r="AG220" s="87" t="s">
        <v>957</v>
      </c>
      <c r="AH220" s="82" t="b">
        <v>0</v>
      </c>
      <c r="AI220" s="82" t="s">
        <v>973</v>
      </c>
      <c r="AJ220" s="82"/>
      <c r="AK220" s="87" t="s">
        <v>957</v>
      </c>
      <c r="AL220" s="82" t="b">
        <v>0</v>
      </c>
      <c r="AM220" s="82">
        <v>0</v>
      </c>
      <c r="AN220" s="87" t="s">
        <v>957</v>
      </c>
      <c r="AO220" s="87" t="s">
        <v>305</v>
      </c>
      <c r="AP220" s="82" t="b">
        <v>0</v>
      </c>
      <c r="AQ220" s="87" t="s">
        <v>897</v>
      </c>
      <c r="AR220" s="82" t="s">
        <v>211</v>
      </c>
      <c r="AS220" s="82">
        <v>0</v>
      </c>
      <c r="AT220" s="82">
        <v>0</v>
      </c>
      <c r="AU220" s="82"/>
      <c r="AV220" s="82"/>
      <c r="AW220" s="82"/>
      <c r="AX220" s="82"/>
      <c r="AY220" s="82"/>
      <c r="AZ220" s="82"/>
      <c r="BA220" s="82"/>
      <c r="BB220" s="82"/>
      <c r="BC220">
        <v>142</v>
      </c>
      <c r="BD220" s="81" t="str">
        <f>REPLACE(INDEX(GroupVertices[Group],MATCH(Edges[[#This Row],[Vertex 1]],GroupVertices[Vertex],0)),1,1,"")</f>
        <v>2</v>
      </c>
      <c r="BE220" s="81" t="str">
        <f>REPLACE(INDEX(GroupVertices[Group],MATCH(Edges[[#This Row],[Vertex 2]],GroupVertices[Vertex],0)),1,1,"")</f>
        <v>2</v>
      </c>
      <c r="BF220" s="49">
        <v>0</v>
      </c>
      <c r="BG220" s="50">
        <v>0</v>
      </c>
      <c r="BH220" s="49">
        <v>0</v>
      </c>
      <c r="BI220" s="50">
        <v>0</v>
      </c>
      <c r="BJ220" s="49">
        <v>0</v>
      </c>
      <c r="BK220" s="50">
        <v>0</v>
      </c>
      <c r="BL220" s="49">
        <v>17</v>
      </c>
      <c r="BM220" s="50">
        <v>100</v>
      </c>
      <c r="BN220" s="49">
        <v>17</v>
      </c>
    </row>
    <row r="221" spans="1:66" ht="15">
      <c r="A221" s="66" t="s">
        <v>305</v>
      </c>
      <c r="B221" s="66" t="s">
        <v>305</v>
      </c>
      <c r="C221" s="67" t="s">
        <v>2140</v>
      </c>
      <c r="D221" s="68">
        <v>3</v>
      </c>
      <c r="E221" s="69" t="s">
        <v>136</v>
      </c>
      <c r="F221" s="70">
        <v>6</v>
      </c>
      <c r="G221" s="67"/>
      <c r="H221" s="71"/>
      <c r="I221" s="72"/>
      <c r="J221" s="72"/>
      <c r="K221" s="35" t="s">
        <v>65</v>
      </c>
      <c r="L221" s="80">
        <v>221</v>
      </c>
      <c r="M221" s="80"/>
      <c r="N221" s="74"/>
      <c r="O221" s="82" t="s">
        <v>211</v>
      </c>
      <c r="P221" s="84">
        <v>44729.369155092594</v>
      </c>
      <c r="Q221" s="82" t="s">
        <v>479</v>
      </c>
      <c r="R221" s="82"/>
      <c r="S221" s="82"/>
      <c r="T221" s="82"/>
      <c r="U221" s="82"/>
      <c r="V221" s="85" t="str">
        <f>HYPERLINK("https://pbs.twimg.com/profile_images/825717962481029123/h6cXfTnb_normal.jpg")</f>
        <v>https://pbs.twimg.com/profile_images/825717962481029123/h6cXfTnb_normal.jpg</v>
      </c>
      <c r="W221" s="84">
        <v>44729.369155092594</v>
      </c>
      <c r="X221" s="89">
        <v>44729</v>
      </c>
      <c r="Y221" s="87" t="s">
        <v>698</v>
      </c>
      <c r="Z221" s="85" t="str">
        <f>HYPERLINK("https://twitter.com/chombotofficial/status/1537719593216708608")</f>
        <v>https://twitter.com/chombotofficial/status/1537719593216708608</v>
      </c>
      <c r="AA221" s="82"/>
      <c r="AB221" s="82"/>
      <c r="AC221" s="87" t="s">
        <v>898</v>
      </c>
      <c r="AD221" s="82"/>
      <c r="AE221" s="82" t="b">
        <v>0</v>
      </c>
      <c r="AF221" s="82">
        <v>0</v>
      </c>
      <c r="AG221" s="87" t="s">
        <v>957</v>
      </c>
      <c r="AH221" s="82" t="b">
        <v>0</v>
      </c>
      <c r="AI221" s="82" t="s">
        <v>973</v>
      </c>
      <c r="AJ221" s="82"/>
      <c r="AK221" s="87" t="s">
        <v>957</v>
      </c>
      <c r="AL221" s="82" t="b">
        <v>0</v>
      </c>
      <c r="AM221" s="82">
        <v>0</v>
      </c>
      <c r="AN221" s="87" t="s">
        <v>957</v>
      </c>
      <c r="AO221" s="87" t="s">
        <v>305</v>
      </c>
      <c r="AP221" s="82" t="b">
        <v>0</v>
      </c>
      <c r="AQ221" s="87" t="s">
        <v>898</v>
      </c>
      <c r="AR221" s="82" t="s">
        <v>211</v>
      </c>
      <c r="AS221" s="82">
        <v>0</v>
      </c>
      <c r="AT221" s="82">
        <v>0</v>
      </c>
      <c r="AU221" s="82"/>
      <c r="AV221" s="82"/>
      <c r="AW221" s="82"/>
      <c r="AX221" s="82"/>
      <c r="AY221" s="82"/>
      <c r="AZ221" s="82"/>
      <c r="BA221" s="82"/>
      <c r="BB221" s="82"/>
      <c r="BC221">
        <v>142</v>
      </c>
      <c r="BD221" s="81" t="str">
        <f>REPLACE(INDEX(GroupVertices[Group],MATCH(Edges[[#This Row],[Vertex 1]],GroupVertices[Vertex],0)),1,1,"")</f>
        <v>2</v>
      </c>
      <c r="BE221" s="81" t="str">
        <f>REPLACE(INDEX(GroupVertices[Group],MATCH(Edges[[#This Row],[Vertex 2]],GroupVertices[Vertex],0)),1,1,"")</f>
        <v>2</v>
      </c>
      <c r="BF221" s="49">
        <v>1</v>
      </c>
      <c r="BG221" s="50">
        <v>5.2631578947368425</v>
      </c>
      <c r="BH221" s="49">
        <v>0</v>
      </c>
      <c r="BI221" s="50">
        <v>0</v>
      </c>
      <c r="BJ221" s="49">
        <v>0</v>
      </c>
      <c r="BK221" s="50">
        <v>0</v>
      </c>
      <c r="BL221" s="49">
        <v>18</v>
      </c>
      <c r="BM221" s="50">
        <v>94.73684210526316</v>
      </c>
      <c r="BN221" s="49">
        <v>19</v>
      </c>
    </row>
    <row r="222" spans="1:66" ht="15">
      <c r="A222" s="66" t="s">
        <v>305</v>
      </c>
      <c r="B222" s="66" t="s">
        <v>305</v>
      </c>
      <c r="C222" s="67" t="s">
        <v>2140</v>
      </c>
      <c r="D222" s="68">
        <v>3</v>
      </c>
      <c r="E222" s="69" t="s">
        <v>136</v>
      </c>
      <c r="F222" s="70">
        <v>6</v>
      </c>
      <c r="G222" s="67"/>
      <c r="H222" s="71"/>
      <c r="I222" s="72"/>
      <c r="J222" s="72"/>
      <c r="K222" s="35" t="s">
        <v>65</v>
      </c>
      <c r="L222" s="80">
        <v>222</v>
      </c>
      <c r="M222" s="80"/>
      <c r="N222" s="74"/>
      <c r="O222" s="82" t="s">
        <v>211</v>
      </c>
      <c r="P222" s="84">
        <v>44729.400405092594</v>
      </c>
      <c r="Q222" s="82" t="s">
        <v>480</v>
      </c>
      <c r="R222" s="82"/>
      <c r="S222" s="82"/>
      <c r="T222" s="82"/>
      <c r="U222" s="82"/>
      <c r="V222" s="85" t="str">
        <f>HYPERLINK("https://pbs.twimg.com/profile_images/825717962481029123/h6cXfTnb_normal.jpg")</f>
        <v>https://pbs.twimg.com/profile_images/825717962481029123/h6cXfTnb_normal.jpg</v>
      </c>
      <c r="W222" s="84">
        <v>44729.400405092594</v>
      </c>
      <c r="X222" s="89">
        <v>44729</v>
      </c>
      <c r="Y222" s="87" t="s">
        <v>699</v>
      </c>
      <c r="Z222" s="85" t="str">
        <f>HYPERLINK("https://twitter.com/chombotofficial/status/1537730918521221121")</f>
        <v>https://twitter.com/chombotofficial/status/1537730918521221121</v>
      </c>
      <c r="AA222" s="82"/>
      <c r="AB222" s="82"/>
      <c r="AC222" s="87" t="s">
        <v>899</v>
      </c>
      <c r="AD222" s="82"/>
      <c r="AE222" s="82" t="b">
        <v>0</v>
      </c>
      <c r="AF222" s="82">
        <v>0</v>
      </c>
      <c r="AG222" s="87" t="s">
        <v>957</v>
      </c>
      <c r="AH222" s="82" t="b">
        <v>0</v>
      </c>
      <c r="AI222" s="82" t="s">
        <v>973</v>
      </c>
      <c r="AJ222" s="82"/>
      <c r="AK222" s="87" t="s">
        <v>957</v>
      </c>
      <c r="AL222" s="82" t="b">
        <v>0</v>
      </c>
      <c r="AM222" s="82">
        <v>0</v>
      </c>
      <c r="AN222" s="87" t="s">
        <v>957</v>
      </c>
      <c r="AO222" s="87" t="s">
        <v>305</v>
      </c>
      <c r="AP222" s="82" t="b">
        <v>0</v>
      </c>
      <c r="AQ222" s="87" t="s">
        <v>899</v>
      </c>
      <c r="AR222" s="82" t="s">
        <v>211</v>
      </c>
      <c r="AS222" s="82">
        <v>0</v>
      </c>
      <c r="AT222" s="82">
        <v>0</v>
      </c>
      <c r="AU222" s="82"/>
      <c r="AV222" s="82"/>
      <c r="AW222" s="82"/>
      <c r="AX222" s="82"/>
      <c r="AY222" s="82"/>
      <c r="AZ222" s="82"/>
      <c r="BA222" s="82"/>
      <c r="BB222" s="82"/>
      <c r="BC222">
        <v>142</v>
      </c>
      <c r="BD222" s="81" t="str">
        <f>REPLACE(INDEX(GroupVertices[Group],MATCH(Edges[[#This Row],[Vertex 1]],GroupVertices[Vertex],0)),1,1,"")</f>
        <v>2</v>
      </c>
      <c r="BE222" s="81" t="str">
        <f>REPLACE(INDEX(GroupVertices[Group],MATCH(Edges[[#This Row],[Vertex 2]],GroupVertices[Vertex],0)),1,1,"")</f>
        <v>2</v>
      </c>
      <c r="BF222" s="49">
        <v>0</v>
      </c>
      <c r="BG222" s="50">
        <v>0</v>
      </c>
      <c r="BH222" s="49">
        <v>1</v>
      </c>
      <c r="BI222" s="50">
        <v>4.761904761904762</v>
      </c>
      <c r="BJ222" s="49">
        <v>0</v>
      </c>
      <c r="BK222" s="50">
        <v>0</v>
      </c>
      <c r="BL222" s="49">
        <v>20</v>
      </c>
      <c r="BM222" s="50">
        <v>95.23809523809524</v>
      </c>
      <c r="BN222" s="49">
        <v>21</v>
      </c>
    </row>
    <row r="223" spans="1:66" ht="15">
      <c r="A223" s="66" t="s">
        <v>305</v>
      </c>
      <c r="B223" s="66" t="s">
        <v>305</v>
      </c>
      <c r="C223" s="67" t="s">
        <v>2140</v>
      </c>
      <c r="D223" s="68">
        <v>3</v>
      </c>
      <c r="E223" s="69" t="s">
        <v>136</v>
      </c>
      <c r="F223" s="70">
        <v>6</v>
      </c>
      <c r="G223" s="67"/>
      <c r="H223" s="71"/>
      <c r="I223" s="72"/>
      <c r="J223" s="72"/>
      <c r="K223" s="35" t="s">
        <v>65</v>
      </c>
      <c r="L223" s="80">
        <v>223</v>
      </c>
      <c r="M223" s="80"/>
      <c r="N223" s="74"/>
      <c r="O223" s="82" t="s">
        <v>211</v>
      </c>
      <c r="P223" s="84">
        <v>44729.46637731481</v>
      </c>
      <c r="Q223" s="82" t="s">
        <v>481</v>
      </c>
      <c r="R223" s="82"/>
      <c r="S223" s="82"/>
      <c r="T223" s="82"/>
      <c r="U223" s="82"/>
      <c r="V223" s="85" t="str">
        <f>HYPERLINK("https://pbs.twimg.com/profile_images/825717962481029123/h6cXfTnb_normal.jpg")</f>
        <v>https://pbs.twimg.com/profile_images/825717962481029123/h6cXfTnb_normal.jpg</v>
      </c>
      <c r="W223" s="84">
        <v>44729.46637731481</v>
      </c>
      <c r="X223" s="89">
        <v>44729</v>
      </c>
      <c r="Y223" s="87" t="s">
        <v>700</v>
      </c>
      <c r="Z223" s="85" t="str">
        <f>HYPERLINK("https://twitter.com/chombotofficial/status/1537754826020372482")</f>
        <v>https://twitter.com/chombotofficial/status/1537754826020372482</v>
      </c>
      <c r="AA223" s="82"/>
      <c r="AB223" s="82"/>
      <c r="AC223" s="87" t="s">
        <v>900</v>
      </c>
      <c r="AD223" s="82"/>
      <c r="AE223" s="82" t="b">
        <v>0</v>
      </c>
      <c r="AF223" s="82">
        <v>0</v>
      </c>
      <c r="AG223" s="87" t="s">
        <v>957</v>
      </c>
      <c r="AH223" s="82" t="b">
        <v>0</v>
      </c>
      <c r="AI223" s="82" t="s">
        <v>973</v>
      </c>
      <c r="AJ223" s="82"/>
      <c r="AK223" s="87" t="s">
        <v>957</v>
      </c>
      <c r="AL223" s="82" t="b">
        <v>0</v>
      </c>
      <c r="AM223" s="82">
        <v>0</v>
      </c>
      <c r="AN223" s="87" t="s">
        <v>957</v>
      </c>
      <c r="AO223" s="87" t="s">
        <v>305</v>
      </c>
      <c r="AP223" s="82" t="b">
        <v>0</v>
      </c>
      <c r="AQ223" s="87" t="s">
        <v>900</v>
      </c>
      <c r="AR223" s="82" t="s">
        <v>211</v>
      </c>
      <c r="AS223" s="82">
        <v>0</v>
      </c>
      <c r="AT223" s="82">
        <v>0</v>
      </c>
      <c r="AU223" s="82"/>
      <c r="AV223" s="82"/>
      <c r="AW223" s="82"/>
      <c r="AX223" s="82"/>
      <c r="AY223" s="82"/>
      <c r="AZ223" s="82"/>
      <c r="BA223" s="82"/>
      <c r="BB223" s="82"/>
      <c r="BC223">
        <v>142</v>
      </c>
      <c r="BD223" s="81" t="str">
        <f>REPLACE(INDEX(GroupVertices[Group],MATCH(Edges[[#This Row],[Vertex 1]],GroupVertices[Vertex],0)),1,1,"")</f>
        <v>2</v>
      </c>
      <c r="BE223" s="81" t="str">
        <f>REPLACE(INDEX(GroupVertices[Group],MATCH(Edges[[#This Row],[Vertex 2]],GroupVertices[Vertex],0)),1,1,"")</f>
        <v>2</v>
      </c>
      <c r="BF223" s="49">
        <v>0</v>
      </c>
      <c r="BG223" s="50">
        <v>0</v>
      </c>
      <c r="BH223" s="49">
        <v>0</v>
      </c>
      <c r="BI223" s="50">
        <v>0</v>
      </c>
      <c r="BJ223" s="49">
        <v>0</v>
      </c>
      <c r="BK223" s="50">
        <v>0</v>
      </c>
      <c r="BL223" s="49">
        <v>20</v>
      </c>
      <c r="BM223" s="50">
        <v>100</v>
      </c>
      <c r="BN223" s="49">
        <v>20</v>
      </c>
    </row>
    <row r="224" spans="1:66" ht="15">
      <c r="A224" s="66" t="s">
        <v>305</v>
      </c>
      <c r="B224" s="66" t="s">
        <v>305</v>
      </c>
      <c r="C224" s="67" t="s">
        <v>2140</v>
      </c>
      <c r="D224" s="68">
        <v>3</v>
      </c>
      <c r="E224" s="69" t="s">
        <v>136</v>
      </c>
      <c r="F224" s="70">
        <v>6</v>
      </c>
      <c r="G224" s="67"/>
      <c r="H224" s="71"/>
      <c r="I224" s="72"/>
      <c r="J224" s="72"/>
      <c r="K224" s="35" t="s">
        <v>65</v>
      </c>
      <c r="L224" s="80">
        <v>224</v>
      </c>
      <c r="M224" s="80"/>
      <c r="N224" s="74"/>
      <c r="O224" s="82" t="s">
        <v>211</v>
      </c>
      <c r="P224" s="84">
        <v>44729.54623842592</v>
      </c>
      <c r="Q224" s="82" t="s">
        <v>482</v>
      </c>
      <c r="R224" s="82"/>
      <c r="S224" s="82"/>
      <c r="T224" s="82"/>
      <c r="U224" s="82"/>
      <c r="V224" s="85" t="str">
        <f>HYPERLINK("https://pbs.twimg.com/profile_images/825717962481029123/h6cXfTnb_normal.jpg")</f>
        <v>https://pbs.twimg.com/profile_images/825717962481029123/h6cXfTnb_normal.jpg</v>
      </c>
      <c r="W224" s="84">
        <v>44729.54623842592</v>
      </c>
      <c r="X224" s="89">
        <v>44729</v>
      </c>
      <c r="Y224" s="87" t="s">
        <v>648</v>
      </c>
      <c r="Z224" s="85" t="str">
        <f>HYPERLINK("https://twitter.com/chombotofficial/status/1537783767070388224")</f>
        <v>https://twitter.com/chombotofficial/status/1537783767070388224</v>
      </c>
      <c r="AA224" s="82"/>
      <c r="AB224" s="82"/>
      <c r="AC224" s="87" t="s">
        <v>901</v>
      </c>
      <c r="AD224" s="82"/>
      <c r="AE224" s="82" t="b">
        <v>0</v>
      </c>
      <c r="AF224" s="82">
        <v>0</v>
      </c>
      <c r="AG224" s="87" t="s">
        <v>957</v>
      </c>
      <c r="AH224" s="82" t="b">
        <v>0</v>
      </c>
      <c r="AI224" s="82" t="s">
        <v>973</v>
      </c>
      <c r="AJ224" s="82"/>
      <c r="AK224" s="87" t="s">
        <v>957</v>
      </c>
      <c r="AL224" s="82" t="b">
        <v>0</v>
      </c>
      <c r="AM224" s="82">
        <v>0</v>
      </c>
      <c r="AN224" s="87" t="s">
        <v>957</v>
      </c>
      <c r="AO224" s="87" t="s">
        <v>305</v>
      </c>
      <c r="AP224" s="82" t="b">
        <v>0</v>
      </c>
      <c r="AQ224" s="87" t="s">
        <v>901</v>
      </c>
      <c r="AR224" s="82" t="s">
        <v>211</v>
      </c>
      <c r="AS224" s="82">
        <v>0</v>
      </c>
      <c r="AT224" s="82">
        <v>0</v>
      </c>
      <c r="AU224" s="82"/>
      <c r="AV224" s="82"/>
      <c r="AW224" s="82"/>
      <c r="AX224" s="82"/>
      <c r="AY224" s="82"/>
      <c r="AZ224" s="82"/>
      <c r="BA224" s="82"/>
      <c r="BB224" s="82"/>
      <c r="BC224">
        <v>142</v>
      </c>
      <c r="BD224" s="81" t="str">
        <f>REPLACE(INDEX(GroupVertices[Group],MATCH(Edges[[#This Row],[Vertex 1]],GroupVertices[Vertex],0)),1,1,"")</f>
        <v>2</v>
      </c>
      <c r="BE224" s="81" t="str">
        <f>REPLACE(INDEX(GroupVertices[Group],MATCH(Edges[[#This Row],[Vertex 2]],GroupVertices[Vertex],0)),1,1,"")</f>
        <v>2</v>
      </c>
      <c r="BF224" s="49">
        <v>0</v>
      </c>
      <c r="BG224" s="50">
        <v>0</v>
      </c>
      <c r="BH224" s="49">
        <v>0</v>
      </c>
      <c r="BI224" s="50">
        <v>0</v>
      </c>
      <c r="BJ224" s="49">
        <v>0</v>
      </c>
      <c r="BK224" s="50">
        <v>0</v>
      </c>
      <c r="BL224" s="49">
        <v>20</v>
      </c>
      <c r="BM224" s="50">
        <v>100</v>
      </c>
      <c r="BN224" s="49">
        <v>20</v>
      </c>
    </row>
    <row r="225" spans="1:66" ht="15">
      <c r="A225" s="66" t="s">
        <v>305</v>
      </c>
      <c r="B225" s="66" t="s">
        <v>305</v>
      </c>
      <c r="C225" s="67" t="s">
        <v>2140</v>
      </c>
      <c r="D225" s="68">
        <v>3</v>
      </c>
      <c r="E225" s="69" t="s">
        <v>136</v>
      </c>
      <c r="F225" s="70">
        <v>6</v>
      </c>
      <c r="G225" s="67"/>
      <c r="H225" s="71"/>
      <c r="I225" s="72"/>
      <c r="J225" s="72"/>
      <c r="K225" s="35" t="s">
        <v>65</v>
      </c>
      <c r="L225" s="80">
        <v>225</v>
      </c>
      <c r="M225" s="80"/>
      <c r="N225" s="74"/>
      <c r="O225" s="82" t="s">
        <v>211</v>
      </c>
      <c r="P225" s="84">
        <v>44729.699016203704</v>
      </c>
      <c r="Q225" s="82" t="s">
        <v>483</v>
      </c>
      <c r="R225" s="82"/>
      <c r="S225" s="82"/>
      <c r="T225" s="82"/>
      <c r="U225" s="82"/>
      <c r="V225" s="85" t="str">
        <f>HYPERLINK("https://pbs.twimg.com/profile_images/825717962481029123/h6cXfTnb_normal.jpg")</f>
        <v>https://pbs.twimg.com/profile_images/825717962481029123/h6cXfTnb_normal.jpg</v>
      </c>
      <c r="W225" s="84">
        <v>44729.699016203704</v>
      </c>
      <c r="X225" s="89">
        <v>44729</v>
      </c>
      <c r="Y225" s="87" t="s">
        <v>701</v>
      </c>
      <c r="Z225" s="85" t="str">
        <f>HYPERLINK("https://twitter.com/chombotofficial/status/1537839131983859712")</f>
        <v>https://twitter.com/chombotofficial/status/1537839131983859712</v>
      </c>
      <c r="AA225" s="82"/>
      <c r="AB225" s="82"/>
      <c r="AC225" s="87" t="s">
        <v>902</v>
      </c>
      <c r="AD225" s="82"/>
      <c r="AE225" s="82" t="b">
        <v>0</v>
      </c>
      <c r="AF225" s="82">
        <v>0</v>
      </c>
      <c r="AG225" s="87" t="s">
        <v>957</v>
      </c>
      <c r="AH225" s="82" t="b">
        <v>0</v>
      </c>
      <c r="AI225" s="82" t="s">
        <v>973</v>
      </c>
      <c r="AJ225" s="82"/>
      <c r="AK225" s="87" t="s">
        <v>957</v>
      </c>
      <c r="AL225" s="82" t="b">
        <v>0</v>
      </c>
      <c r="AM225" s="82">
        <v>0</v>
      </c>
      <c r="AN225" s="87" t="s">
        <v>957</v>
      </c>
      <c r="AO225" s="87" t="s">
        <v>305</v>
      </c>
      <c r="AP225" s="82" t="b">
        <v>0</v>
      </c>
      <c r="AQ225" s="87" t="s">
        <v>902</v>
      </c>
      <c r="AR225" s="82" t="s">
        <v>211</v>
      </c>
      <c r="AS225" s="82">
        <v>0</v>
      </c>
      <c r="AT225" s="82">
        <v>0</v>
      </c>
      <c r="AU225" s="82"/>
      <c r="AV225" s="82"/>
      <c r="AW225" s="82"/>
      <c r="AX225" s="82"/>
      <c r="AY225" s="82"/>
      <c r="AZ225" s="82"/>
      <c r="BA225" s="82"/>
      <c r="BB225" s="82"/>
      <c r="BC225">
        <v>142</v>
      </c>
      <c r="BD225" s="81" t="str">
        <f>REPLACE(INDEX(GroupVertices[Group],MATCH(Edges[[#This Row],[Vertex 1]],GroupVertices[Vertex],0)),1,1,"")</f>
        <v>2</v>
      </c>
      <c r="BE225" s="81" t="str">
        <f>REPLACE(INDEX(GroupVertices[Group],MATCH(Edges[[#This Row],[Vertex 2]],GroupVertices[Vertex],0)),1,1,"")</f>
        <v>2</v>
      </c>
      <c r="BF225" s="49">
        <v>0</v>
      </c>
      <c r="BG225" s="50">
        <v>0</v>
      </c>
      <c r="BH225" s="49">
        <v>1</v>
      </c>
      <c r="BI225" s="50">
        <v>4.545454545454546</v>
      </c>
      <c r="BJ225" s="49">
        <v>0</v>
      </c>
      <c r="BK225" s="50">
        <v>0</v>
      </c>
      <c r="BL225" s="49">
        <v>21</v>
      </c>
      <c r="BM225" s="50">
        <v>95.45454545454545</v>
      </c>
      <c r="BN225" s="49">
        <v>22</v>
      </c>
    </row>
    <row r="226" spans="1:66" ht="15">
      <c r="A226" s="66" t="s">
        <v>305</v>
      </c>
      <c r="B226" s="66" t="s">
        <v>305</v>
      </c>
      <c r="C226" s="67" t="s">
        <v>2140</v>
      </c>
      <c r="D226" s="68">
        <v>3</v>
      </c>
      <c r="E226" s="69" t="s">
        <v>136</v>
      </c>
      <c r="F226" s="70">
        <v>6</v>
      </c>
      <c r="G226" s="67"/>
      <c r="H226" s="71"/>
      <c r="I226" s="72"/>
      <c r="J226" s="72"/>
      <c r="K226" s="35" t="s">
        <v>65</v>
      </c>
      <c r="L226" s="80">
        <v>226</v>
      </c>
      <c r="M226" s="80"/>
      <c r="N226" s="74"/>
      <c r="O226" s="82" t="s">
        <v>211</v>
      </c>
      <c r="P226" s="84">
        <v>44729.73721064815</v>
      </c>
      <c r="Q226" s="82" t="s">
        <v>484</v>
      </c>
      <c r="R226" s="82"/>
      <c r="S226" s="82"/>
      <c r="T226" s="82"/>
      <c r="U226" s="82"/>
      <c r="V226" s="85" t="str">
        <f>HYPERLINK("https://pbs.twimg.com/profile_images/825717962481029123/h6cXfTnb_normal.jpg")</f>
        <v>https://pbs.twimg.com/profile_images/825717962481029123/h6cXfTnb_normal.jpg</v>
      </c>
      <c r="W226" s="84">
        <v>44729.73721064815</v>
      </c>
      <c r="X226" s="89">
        <v>44729</v>
      </c>
      <c r="Y226" s="87" t="s">
        <v>702</v>
      </c>
      <c r="Z226" s="85" t="str">
        <f>HYPERLINK("https://twitter.com/chombotofficial/status/1537852974088785929")</f>
        <v>https://twitter.com/chombotofficial/status/1537852974088785929</v>
      </c>
      <c r="AA226" s="82"/>
      <c r="AB226" s="82"/>
      <c r="AC226" s="87" t="s">
        <v>903</v>
      </c>
      <c r="AD226" s="82"/>
      <c r="AE226" s="82" t="b">
        <v>0</v>
      </c>
      <c r="AF226" s="82">
        <v>0</v>
      </c>
      <c r="AG226" s="87" t="s">
        <v>957</v>
      </c>
      <c r="AH226" s="82" t="b">
        <v>0</v>
      </c>
      <c r="AI226" s="82" t="s">
        <v>973</v>
      </c>
      <c r="AJ226" s="82"/>
      <c r="AK226" s="87" t="s">
        <v>957</v>
      </c>
      <c r="AL226" s="82" t="b">
        <v>0</v>
      </c>
      <c r="AM226" s="82">
        <v>0</v>
      </c>
      <c r="AN226" s="87" t="s">
        <v>957</v>
      </c>
      <c r="AO226" s="87" t="s">
        <v>305</v>
      </c>
      <c r="AP226" s="82" t="b">
        <v>0</v>
      </c>
      <c r="AQ226" s="87" t="s">
        <v>903</v>
      </c>
      <c r="AR226" s="82" t="s">
        <v>211</v>
      </c>
      <c r="AS226" s="82">
        <v>0</v>
      </c>
      <c r="AT226" s="82">
        <v>0</v>
      </c>
      <c r="AU226" s="82"/>
      <c r="AV226" s="82"/>
      <c r="AW226" s="82"/>
      <c r="AX226" s="82"/>
      <c r="AY226" s="82"/>
      <c r="AZ226" s="82"/>
      <c r="BA226" s="82"/>
      <c r="BB226" s="82"/>
      <c r="BC226">
        <v>142</v>
      </c>
      <c r="BD226" s="81" t="str">
        <f>REPLACE(INDEX(GroupVertices[Group],MATCH(Edges[[#This Row],[Vertex 1]],GroupVertices[Vertex],0)),1,1,"")</f>
        <v>2</v>
      </c>
      <c r="BE226" s="81" t="str">
        <f>REPLACE(INDEX(GroupVertices[Group],MATCH(Edges[[#This Row],[Vertex 2]],GroupVertices[Vertex],0)),1,1,"")</f>
        <v>2</v>
      </c>
      <c r="BF226" s="49">
        <v>0</v>
      </c>
      <c r="BG226" s="50">
        <v>0</v>
      </c>
      <c r="BH226" s="49">
        <v>0</v>
      </c>
      <c r="BI226" s="50">
        <v>0</v>
      </c>
      <c r="BJ226" s="49">
        <v>0</v>
      </c>
      <c r="BK226" s="50">
        <v>0</v>
      </c>
      <c r="BL226" s="49">
        <v>15</v>
      </c>
      <c r="BM226" s="50">
        <v>100</v>
      </c>
      <c r="BN226" s="49">
        <v>15</v>
      </c>
    </row>
    <row r="227" spans="1:66" ht="15">
      <c r="A227" s="66" t="s">
        <v>305</v>
      </c>
      <c r="B227" s="66" t="s">
        <v>305</v>
      </c>
      <c r="C227" s="67" t="s">
        <v>2140</v>
      </c>
      <c r="D227" s="68">
        <v>3</v>
      </c>
      <c r="E227" s="69" t="s">
        <v>136</v>
      </c>
      <c r="F227" s="70">
        <v>6</v>
      </c>
      <c r="G227" s="67"/>
      <c r="H227" s="71"/>
      <c r="I227" s="72"/>
      <c r="J227" s="72"/>
      <c r="K227" s="35" t="s">
        <v>65</v>
      </c>
      <c r="L227" s="80">
        <v>227</v>
      </c>
      <c r="M227" s="80"/>
      <c r="N227" s="74"/>
      <c r="O227" s="82" t="s">
        <v>211</v>
      </c>
      <c r="P227" s="84">
        <v>44729.75109953704</v>
      </c>
      <c r="Q227" s="82" t="s">
        <v>485</v>
      </c>
      <c r="R227" s="82"/>
      <c r="S227" s="82"/>
      <c r="T227" s="82"/>
      <c r="U227" s="82"/>
      <c r="V227" s="85" t="str">
        <f>HYPERLINK("https://pbs.twimg.com/profile_images/825717962481029123/h6cXfTnb_normal.jpg")</f>
        <v>https://pbs.twimg.com/profile_images/825717962481029123/h6cXfTnb_normal.jpg</v>
      </c>
      <c r="W227" s="84">
        <v>44729.75109953704</v>
      </c>
      <c r="X227" s="89">
        <v>44729</v>
      </c>
      <c r="Y227" s="87" t="s">
        <v>703</v>
      </c>
      <c r="Z227" s="85" t="str">
        <f>HYPERLINK("https://twitter.com/chombotofficial/status/1537858005252857857")</f>
        <v>https://twitter.com/chombotofficial/status/1537858005252857857</v>
      </c>
      <c r="AA227" s="82"/>
      <c r="AB227" s="82"/>
      <c r="AC227" s="87" t="s">
        <v>904</v>
      </c>
      <c r="AD227" s="82"/>
      <c r="AE227" s="82" t="b">
        <v>0</v>
      </c>
      <c r="AF227" s="82">
        <v>0</v>
      </c>
      <c r="AG227" s="87" t="s">
        <v>957</v>
      </c>
      <c r="AH227" s="82" t="b">
        <v>0</v>
      </c>
      <c r="AI227" s="82" t="s">
        <v>973</v>
      </c>
      <c r="AJ227" s="82"/>
      <c r="AK227" s="87" t="s">
        <v>957</v>
      </c>
      <c r="AL227" s="82" t="b">
        <v>0</v>
      </c>
      <c r="AM227" s="82">
        <v>0</v>
      </c>
      <c r="AN227" s="87" t="s">
        <v>957</v>
      </c>
      <c r="AO227" s="87" t="s">
        <v>305</v>
      </c>
      <c r="AP227" s="82" t="b">
        <v>0</v>
      </c>
      <c r="AQ227" s="87" t="s">
        <v>904</v>
      </c>
      <c r="AR227" s="82" t="s">
        <v>211</v>
      </c>
      <c r="AS227" s="82">
        <v>0</v>
      </c>
      <c r="AT227" s="82">
        <v>0</v>
      </c>
      <c r="AU227" s="82"/>
      <c r="AV227" s="82"/>
      <c r="AW227" s="82"/>
      <c r="AX227" s="82"/>
      <c r="AY227" s="82"/>
      <c r="AZ227" s="82"/>
      <c r="BA227" s="82"/>
      <c r="BB227" s="82"/>
      <c r="BC227">
        <v>142</v>
      </c>
      <c r="BD227" s="81" t="str">
        <f>REPLACE(INDEX(GroupVertices[Group],MATCH(Edges[[#This Row],[Vertex 1]],GroupVertices[Vertex],0)),1,1,"")</f>
        <v>2</v>
      </c>
      <c r="BE227" s="81" t="str">
        <f>REPLACE(INDEX(GroupVertices[Group],MATCH(Edges[[#This Row],[Vertex 2]],GroupVertices[Vertex],0)),1,1,"")</f>
        <v>2</v>
      </c>
      <c r="BF227" s="49">
        <v>0</v>
      </c>
      <c r="BG227" s="50">
        <v>0</v>
      </c>
      <c r="BH227" s="49">
        <v>0</v>
      </c>
      <c r="BI227" s="50">
        <v>0</v>
      </c>
      <c r="BJ227" s="49">
        <v>0</v>
      </c>
      <c r="BK227" s="50">
        <v>0</v>
      </c>
      <c r="BL227" s="49">
        <v>20</v>
      </c>
      <c r="BM227" s="50">
        <v>100</v>
      </c>
      <c r="BN227" s="49">
        <v>20</v>
      </c>
    </row>
    <row r="228" spans="1:66" ht="15">
      <c r="A228" s="66" t="s">
        <v>305</v>
      </c>
      <c r="B228" s="66" t="s">
        <v>305</v>
      </c>
      <c r="C228" s="67" t="s">
        <v>2140</v>
      </c>
      <c r="D228" s="68">
        <v>3</v>
      </c>
      <c r="E228" s="69" t="s">
        <v>136</v>
      </c>
      <c r="F228" s="70">
        <v>6</v>
      </c>
      <c r="G228" s="67"/>
      <c r="H228" s="71"/>
      <c r="I228" s="72"/>
      <c r="J228" s="72"/>
      <c r="K228" s="35" t="s">
        <v>65</v>
      </c>
      <c r="L228" s="80">
        <v>228</v>
      </c>
      <c r="M228" s="80"/>
      <c r="N228" s="74"/>
      <c r="O228" s="82" t="s">
        <v>211</v>
      </c>
      <c r="P228" s="84">
        <v>44729.775405092594</v>
      </c>
      <c r="Q228" s="82" t="s">
        <v>486</v>
      </c>
      <c r="R228" s="82"/>
      <c r="S228" s="82"/>
      <c r="T228" s="82"/>
      <c r="U228" s="82"/>
      <c r="V228" s="85" t="str">
        <f>HYPERLINK("https://pbs.twimg.com/profile_images/825717962481029123/h6cXfTnb_normal.jpg")</f>
        <v>https://pbs.twimg.com/profile_images/825717962481029123/h6cXfTnb_normal.jpg</v>
      </c>
      <c r="W228" s="84">
        <v>44729.775405092594</v>
      </c>
      <c r="X228" s="89">
        <v>44729</v>
      </c>
      <c r="Y228" s="87" t="s">
        <v>650</v>
      </c>
      <c r="Z228" s="85" t="str">
        <f>HYPERLINK("https://twitter.com/chombotofficial/status/1537866814415286272")</f>
        <v>https://twitter.com/chombotofficial/status/1537866814415286272</v>
      </c>
      <c r="AA228" s="82"/>
      <c r="AB228" s="82"/>
      <c r="AC228" s="87" t="s">
        <v>905</v>
      </c>
      <c r="AD228" s="82"/>
      <c r="AE228" s="82" t="b">
        <v>0</v>
      </c>
      <c r="AF228" s="82">
        <v>0</v>
      </c>
      <c r="AG228" s="87" t="s">
        <v>957</v>
      </c>
      <c r="AH228" s="82" t="b">
        <v>0</v>
      </c>
      <c r="AI228" s="82" t="s">
        <v>973</v>
      </c>
      <c r="AJ228" s="82"/>
      <c r="AK228" s="87" t="s">
        <v>957</v>
      </c>
      <c r="AL228" s="82" t="b">
        <v>0</v>
      </c>
      <c r="AM228" s="82">
        <v>0</v>
      </c>
      <c r="AN228" s="87" t="s">
        <v>957</v>
      </c>
      <c r="AO228" s="87" t="s">
        <v>305</v>
      </c>
      <c r="AP228" s="82" t="b">
        <v>0</v>
      </c>
      <c r="AQ228" s="87" t="s">
        <v>905</v>
      </c>
      <c r="AR228" s="82" t="s">
        <v>211</v>
      </c>
      <c r="AS228" s="82">
        <v>0</v>
      </c>
      <c r="AT228" s="82">
        <v>0</v>
      </c>
      <c r="AU228" s="82"/>
      <c r="AV228" s="82"/>
      <c r="AW228" s="82"/>
      <c r="AX228" s="82"/>
      <c r="AY228" s="82"/>
      <c r="AZ228" s="82"/>
      <c r="BA228" s="82"/>
      <c r="BB228" s="82"/>
      <c r="BC228">
        <v>142</v>
      </c>
      <c r="BD228" s="81" t="str">
        <f>REPLACE(INDEX(GroupVertices[Group],MATCH(Edges[[#This Row],[Vertex 1]],GroupVertices[Vertex],0)),1,1,"")</f>
        <v>2</v>
      </c>
      <c r="BE228" s="81" t="str">
        <f>REPLACE(INDEX(GroupVertices[Group],MATCH(Edges[[#This Row],[Vertex 2]],GroupVertices[Vertex],0)),1,1,"")</f>
        <v>2</v>
      </c>
      <c r="BF228" s="49">
        <v>1</v>
      </c>
      <c r="BG228" s="50">
        <v>5</v>
      </c>
      <c r="BH228" s="49">
        <v>1</v>
      </c>
      <c r="BI228" s="50">
        <v>5</v>
      </c>
      <c r="BJ228" s="49">
        <v>0</v>
      </c>
      <c r="BK228" s="50">
        <v>0</v>
      </c>
      <c r="BL228" s="49">
        <v>18</v>
      </c>
      <c r="BM228" s="50">
        <v>90</v>
      </c>
      <c r="BN228" s="49">
        <v>20</v>
      </c>
    </row>
    <row r="229" spans="1:66" ht="15">
      <c r="A229" s="66" t="s">
        <v>305</v>
      </c>
      <c r="B229" s="66" t="s">
        <v>305</v>
      </c>
      <c r="C229" s="67" t="s">
        <v>2140</v>
      </c>
      <c r="D229" s="68">
        <v>3</v>
      </c>
      <c r="E229" s="69" t="s">
        <v>136</v>
      </c>
      <c r="F229" s="70">
        <v>6</v>
      </c>
      <c r="G229" s="67"/>
      <c r="H229" s="71"/>
      <c r="I229" s="72"/>
      <c r="J229" s="72"/>
      <c r="K229" s="35" t="s">
        <v>65</v>
      </c>
      <c r="L229" s="80">
        <v>229</v>
      </c>
      <c r="M229" s="80"/>
      <c r="N229" s="74"/>
      <c r="O229" s="82" t="s">
        <v>211</v>
      </c>
      <c r="P229" s="84">
        <v>44729.77887731481</v>
      </c>
      <c r="Q229" s="82" t="s">
        <v>487</v>
      </c>
      <c r="R229" s="82"/>
      <c r="S229" s="82"/>
      <c r="T229" s="82"/>
      <c r="U229" s="82"/>
      <c r="V229" s="85" t="str">
        <f>HYPERLINK("https://pbs.twimg.com/profile_images/825717962481029123/h6cXfTnb_normal.jpg")</f>
        <v>https://pbs.twimg.com/profile_images/825717962481029123/h6cXfTnb_normal.jpg</v>
      </c>
      <c r="W229" s="84">
        <v>44729.77887731481</v>
      </c>
      <c r="X229" s="89">
        <v>44729</v>
      </c>
      <c r="Y229" s="87" t="s">
        <v>704</v>
      </c>
      <c r="Z229" s="85" t="str">
        <f>HYPERLINK("https://twitter.com/chombotofficial/status/1537868071561531392")</f>
        <v>https://twitter.com/chombotofficial/status/1537868071561531392</v>
      </c>
      <c r="AA229" s="82"/>
      <c r="AB229" s="82"/>
      <c r="AC229" s="87" t="s">
        <v>906</v>
      </c>
      <c r="AD229" s="82"/>
      <c r="AE229" s="82" t="b">
        <v>0</v>
      </c>
      <c r="AF229" s="82">
        <v>0</v>
      </c>
      <c r="AG229" s="87" t="s">
        <v>957</v>
      </c>
      <c r="AH229" s="82" t="b">
        <v>0</v>
      </c>
      <c r="AI229" s="82" t="s">
        <v>973</v>
      </c>
      <c r="AJ229" s="82"/>
      <c r="AK229" s="87" t="s">
        <v>957</v>
      </c>
      <c r="AL229" s="82" t="b">
        <v>0</v>
      </c>
      <c r="AM229" s="82">
        <v>0</v>
      </c>
      <c r="AN229" s="87" t="s">
        <v>957</v>
      </c>
      <c r="AO229" s="87" t="s">
        <v>305</v>
      </c>
      <c r="AP229" s="82" t="b">
        <v>0</v>
      </c>
      <c r="AQ229" s="87" t="s">
        <v>906</v>
      </c>
      <c r="AR229" s="82" t="s">
        <v>211</v>
      </c>
      <c r="AS229" s="82">
        <v>0</v>
      </c>
      <c r="AT229" s="82">
        <v>0</v>
      </c>
      <c r="AU229" s="82"/>
      <c r="AV229" s="82"/>
      <c r="AW229" s="82"/>
      <c r="AX229" s="82"/>
      <c r="AY229" s="82"/>
      <c r="AZ229" s="82"/>
      <c r="BA229" s="82"/>
      <c r="BB229" s="82"/>
      <c r="BC229">
        <v>142</v>
      </c>
      <c r="BD229" s="81" t="str">
        <f>REPLACE(INDEX(GroupVertices[Group],MATCH(Edges[[#This Row],[Vertex 1]],GroupVertices[Vertex],0)),1,1,"")</f>
        <v>2</v>
      </c>
      <c r="BE229" s="81" t="str">
        <f>REPLACE(INDEX(GroupVertices[Group],MATCH(Edges[[#This Row],[Vertex 2]],GroupVertices[Vertex],0)),1,1,"")</f>
        <v>2</v>
      </c>
      <c r="BF229" s="49">
        <v>0</v>
      </c>
      <c r="BG229" s="50">
        <v>0</v>
      </c>
      <c r="BH229" s="49">
        <v>1</v>
      </c>
      <c r="BI229" s="50">
        <v>4.761904761904762</v>
      </c>
      <c r="BJ229" s="49">
        <v>0</v>
      </c>
      <c r="BK229" s="50">
        <v>0</v>
      </c>
      <c r="BL229" s="49">
        <v>20</v>
      </c>
      <c r="BM229" s="50">
        <v>95.23809523809524</v>
      </c>
      <c r="BN229" s="49">
        <v>21</v>
      </c>
    </row>
    <row r="230" spans="1:66" ht="15">
      <c r="A230" s="66" t="s">
        <v>305</v>
      </c>
      <c r="B230" s="66" t="s">
        <v>305</v>
      </c>
      <c r="C230" s="67" t="s">
        <v>2140</v>
      </c>
      <c r="D230" s="68">
        <v>3</v>
      </c>
      <c r="E230" s="69" t="s">
        <v>136</v>
      </c>
      <c r="F230" s="70">
        <v>6</v>
      </c>
      <c r="G230" s="67"/>
      <c r="H230" s="71"/>
      <c r="I230" s="72"/>
      <c r="J230" s="72"/>
      <c r="K230" s="35" t="s">
        <v>65</v>
      </c>
      <c r="L230" s="80">
        <v>230</v>
      </c>
      <c r="M230" s="80"/>
      <c r="N230" s="74"/>
      <c r="O230" s="82" t="s">
        <v>211</v>
      </c>
      <c r="P230" s="84">
        <v>44729.855266203704</v>
      </c>
      <c r="Q230" s="82" t="s">
        <v>488</v>
      </c>
      <c r="R230" s="82"/>
      <c r="S230" s="82"/>
      <c r="T230" s="82"/>
      <c r="U230" s="82"/>
      <c r="V230" s="85" t="str">
        <f>HYPERLINK("https://pbs.twimg.com/profile_images/825717962481029123/h6cXfTnb_normal.jpg")</f>
        <v>https://pbs.twimg.com/profile_images/825717962481029123/h6cXfTnb_normal.jpg</v>
      </c>
      <c r="W230" s="84">
        <v>44729.855266203704</v>
      </c>
      <c r="X230" s="89">
        <v>44729</v>
      </c>
      <c r="Y230" s="87" t="s">
        <v>705</v>
      </c>
      <c r="Z230" s="85" t="str">
        <f>HYPERLINK("https://twitter.com/chombotofficial/status/1537895754332721152")</f>
        <v>https://twitter.com/chombotofficial/status/1537895754332721152</v>
      </c>
      <c r="AA230" s="82"/>
      <c r="AB230" s="82"/>
      <c r="AC230" s="87" t="s">
        <v>907</v>
      </c>
      <c r="AD230" s="82"/>
      <c r="AE230" s="82" t="b">
        <v>0</v>
      </c>
      <c r="AF230" s="82">
        <v>0</v>
      </c>
      <c r="AG230" s="87" t="s">
        <v>957</v>
      </c>
      <c r="AH230" s="82" t="b">
        <v>0</v>
      </c>
      <c r="AI230" s="82" t="s">
        <v>973</v>
      </c>
      <c r="AJ230" s="82"/>
      <c r="AK230" s="87" t="s">
        <v>957</v>
      </c>
      <c r="AL230" s="82" t="b">
        <v>0</v>
      </c>
      <c r="AM230" s="82">
        <v>0</v>
      </c>
      <c r="AN230" s="87" t="s">
        <v>957</v>
      </c>
      <c r="AO230" s="87" t="s">
        <v>305</v>
      </c>
      <c r="AP230" s="82" t="b">
        <v>0</v>
      </c>
      <c r="AQ230" s="87" t="s">
        <v>907</v>
      </c>
      <c r="AR230" s="82" t="s">
        <v>211</v>
      </c>
      <c r="AS230" s="82">
        <v>0</v>
      </c>
      <c r="AT230" s="82">
        <v>0</v>
      </c>
      <c r="AU230" s="82"/>
      <c r="AV230" s="82"/>
      <c r="AW230" s="82"/>
      <c r="AX230" s="82"/>
      <c r="AY230" s="82"/>
      <c r="AZ230" s="82"/>
      <c r="BA230" s="82"/>
      <c r="BB230" s="82"/>
      <c r="BC230">
        <v>142</v>
      </c>
      <c r="BD230" s="81" t="str">
        <f>REPLACE(INDEX(GroupVertices[Group],MATCH(Edges[[#This Row],[Vertex 1]],GroupVertices[Vertex],0)),1,1,"")</f>
        <v>2</v>
      </c>
      <c r="BE230" s="81" t="str">
        <f>REPLACE(INDEX(GroupVertices[Group],MATCH(Edges[[#This Row],[Vertex 2]],GroupVertices[Vertex],0)),1,1,"")</f>
        <v>2</v>
      </c>
      <c r="BF230" s="49">
        <v>0</v>
      </c>
      <c r="BG230" s="50">
        <v>0</v>
      </c>
      <c r="BH230" s="49">
        <v>2</v>
      </c>
      <c r="BI230" s="50">
        <v>9.523809523809524</v>
      </c>
      <c r="BJ230" s="49">
        <v>0</v>
      </c>
      <c r="BK230" s="50">
        <v>0</v>
      </c>
      <c r="BL230" s="49">
        <v>19</v>
      </c>
      <c r="BM230" s="50">
        <v>90.47619047619048</v>
      </c>
      <c r="BN230" s="49">
        <v>21</v>
      </c>
    </row>
    <row r="231" spans="1:66" ht="15">
      <c r="A231" s="66" t="s">
        <v>305</v>
      </c>
      <c r="B231" s="66" t="s">
        <v>305</v>
      </c>
      <c r="C231" s="67" t="s">
        <v>2140</v>
      </c>
      <c r="D231" s="68">
        <v>3</v>
      </c>
      <c r="E231" s="69" t="s">
        <v>136</v>
      </c>
      <c r="F231" s="70">
        <v>6</v>
      </c>
      <c r="G231" s="67"/>
      <c r="H231" s="71"/>
      <c r="I231" s="72"/>
      <c r="J231" s="72"/>
      <c r="K231" s="35" t="s">
        <v>65</v>
      </c>
      <c r="L231" s="80">
        <v>231</v>
      </c>
      <c r="M231" s="80"/>
      <c r="N231" s="74"/>
      <c r="O231" s="82" t="s">
        <v>211</v>
      </c>
      <c r="P231" s="84">
        <v>44729.87262731481</v>
      </c>
      <c r="Q231" s="82" t="s">
        <v>489</v>
      </c>
      <c r="R231" s="82"/>
      <c r="S231" s="82"/>
      <c r="T231" s="82"/>
      <c r="U231" s="82"/>
      <c r="V231" s="85" t="str">
        <f>HYPERLINK("https://pbs.twimg.com/profile_images/825717962481029123/h6cXfTnb_normal.jpg")</f>
        <v>https://pbs.twimg.com/profile_images/825717962481029123/h6cXfTnb_normal.jpg</v>
      </c>
      <c r="W231" s="84">
        <v>44729.87262731481</v>
      </c>
      <c r="X231" s="89">
        <v>44729</v>
      </c>
      <c r="Y231" s="87" t="s">
        <v>706</v>
      </c>
      <c r="Z231" s="85" t="str">
        <f>HYPERLINK("https://twitter.com/chombotofficial/status/1537902046279438336")</f>
        <v>https://twitter.com/chombotofficial/status/1537902046279438336</v>
      </c>
      <c r="AA231" s="82"/>
      <c r="AB231" s="82"/>
      <c r="AC231" s="87" t="s">
        <v>908</v>
      </c>
      <c r="AD231" s="82"/>
      <c r="AE231" s="82" t="b">
        <v>0</v>
      </c>
      <c r="AF231" s="82">
        <v>0</v>
      </c>
      <c r="AG231" s="87" t="s">
        <v>957</v>
      </c>
      <c r="AH231" s="82" t="b">
        <v>0</v>
      </c>
      <c r="AI231" s="82" t="s">
        <v>973</v>
      </c>
      <c r="AJ231" s="82"/>
      <c r="AK231" s="87" t="s">
        <v>957</v>
      </c>
      <c r="AL231" s="82" t="b">
        <v>0</v>
      </c>
      <c r="AM231" s="82">
        <v>0</v>
      </c>
      <c r="AN231" s="87" t="s">
        <v>957</v>
      </c>
      <c r="AO231" s="87" t="s">
        <v>305</v>
      </c>
      <c r="AP231" s="82" t="b">
        <v>0</v>
      </c>
      <c r="AQ231" s="87" t="s">
        <v>908</v>
      </c>
      <c r="AR231" s="82" t="s">
        <v>211</v>
      </c>
      <c r="AS231" s="82">
        <v>0</v>
      </c>
      <c r="AT231" s="82">
        <v>0</v>
      </c>
      <c r="AU231" s="82"/>
      <c r="AV231" s="82"/>
      <c r="AW231" s="82"/>
      <c r="AX231" s="82"/>
      <c r="AY231" s="82"/>
      <c r="AZ231" s="82"/>
      <c r="BA231" s="82"/>
      <c r="BB231" s="82"/>
      <c r="BC231">
        <v>142</v>
      </c>
      <c r="BD231" s="81" t="str">
        <f>REPLACE(INDEX(GroupVertices[Group],MATCH(Edges[[#This Row],[Vertex 1]],GroupVertices[Vertex],0)),1,1,"")</f>
        <v>2</v>
      </c>
      <c r="BE231" s="81" t="str">
        <f>REPLACE(INDEX(GroupVertices[Group],MATCH(Edges[[#This Row],[Vertex 2]],GroupVertices[Vertex],0)),1,1,"")</f>
        <v>2</v>
      </c>
      <c r="BF231" s="49">
        <v>0</v>
      </c>
      <c r="BG231" s="50">
        <v>0</v>
      </c>
      <c r="BH231" s="49">
        <v>0</v>
      </c>
      <c r="BI231" s="50">
        <v>0</v>
      </c>
      <c r="BJ231" s="49">
        <v>0</v>
      </c>
      <c r="BK231" s="50">
        <v>0</v>
      </c>
      <c r="BL231" s="49">
        <v>8</v>
      </c>
      <c r="BM231" s="50">
        <v>100</v>
      </c>
      <c r="BN231" s="49">
        <v>8</v>
      </c>
    </row>
    <row r="232" spans="1:66" ht="15">
      <c r="A232" s="66" t="s">
        <v>305</v>
      </c>
      <c r="B232" s="66" t="s">
        <v>305</v>
      </c>
      <c r="C232" s="67" t="s">
        <v>2140</v>
      </c>
      <c r="D232" s="68">
        <v>3</v>
      </c>
      <c r="E232" s="69" t="s">
        <v>136</v>
      </c>
      <c r="F232" s="70">
        <v>6</v>
      </c>
      <c r="G232" s="67"/>
      <c r="H232" s="71"/>
      <c r="I232" s="72"/>
      <c r="J232" s="72"/>
      <c r="K232" s="35" t="s">
        <v>65</v>
      </c>
      <c r="L232" s="80">
        <v>232</v>
      </c>
      <c r="M232" s="80"/>
      <c r="N232" s="74"/>
      <c r="O232" s="82" t="s">
        <v>211</v>
      </c>
      <c r="P232" s="84">
        <v>44730.12262731481</v>
      </c>
      <c r="Q232" s="82" t="s">
        <v>490</v>
      </c>
      <c r="R232" s="82"/>
      <c r="S232" s="82"/>
      <c r="T232" s="82"/>
      <c r="U232" s="82"/>
      <c r="V232" s="85" t="str">
        <f>HYPERLINK("https://pbs.twimg.com/profile_images/825717962481029123/h6cXfTnb_normal.jpg")</f>
        <v>https://pbs.twimg.com/profile_images/825717962481029123/h6cXfTnb_normal.jpg</v>
      </c>
      <c r="W232" s="84">
        <v>44730.12262731481</v>
      </c>
      <c r="X232" s="89">
        <v>44730</v>
      </c>
      <c r="Y232" s="87" t="s">
        <v>707</v>
      </c>
      <c r="Z232" s="85" t="str">
        <f>HYPERLINK("https://twitter.com/chombotofficial/status/1537992642952187905")</f>
        <v>https://twitter.com/chombotofficial/status/1537992642952187905</v>
      </c>
      <c r="AA232" s="82"/>
      <c r="AB232" s="82"/>
      <c r="AC232" s="87" t="s">
        <v>909</v>
      </c>
      <c r="AD232" s="82"/>
      <c r="AE232" s="82" t="b">
        <v>0</v>
      </c>
      <c r="AF232" s="82">
        <v>0</v>
      </c>
      <c r="AG232" s="87" t="s">
        <v>957</v>
      </c>
      <c r="AH232" s="82" t="b">
        <v>0</v>
      </c>
      <c r="AI232" s="82" t="s">
        <v>973</v>
      </c>
      <c r="AJ232" s="82"/>
      <c r="AK232" s="87" t="s">
        <v>957</v>
      </c>
      <c r="AL232" s="82" t="b">
        <v>0</v>
      </c>
      <c r="AM232" s="82">
        <v>0</v>
      </c>
      <c r="AN232" s="87" t="s">
        <v>957</v>
      </c>
      <c r="AO232" s="87" t="s">
        <v>305</v>
      </c>
      <c r="AP232" s="82" t="b">
        <v>0</v>
      </c>
      <c r="AQ232" s="87" t="s">
        <v>909</v>
      </c>
      <c r="AR232" s="82" t="s">
        <v>211</v>
      </c>
      <c r="AS232" s="82">
        <v>0</v>
      </c>
      <c r="AT232" s="82">
        <v>0</v>
      </c>
      <c r="AU232" s="82"/>
      <c r="AV232" s="82"/>
      <c r="AW232" s="82"/>
      <c r="AX232" s="82"/>
      <c r="AY232" s="82"/>
      <c r="AZ232" s="82"/>
      <c r="BA232" s="82"/>
      <c r="BB232" s="82"/>
      <c r="BC232">
        <v>142</v>
      </c>
      <c r="BD232" s="81" t="str">
        <f>REPLACE(INDEX(GroupVertices[Group],MATCH(Edges[[#This Row],[Vertex 1]],GroupVertices[Vertex],0)),1,1,"")</f>
        <v>2</v>
      </c>
      <c r="BE232" s="81" t="str">
        <f>REPLACE(INDEX(GroupVertices[Group],MATCH(Edges[[#This Row],[Vertex 2]],GroupVertices[Vertex],0)),1,1,"")</f>
        <v>2</v>
      </c>
      <c r="BF232" s="49">
        <v>0</v>
      </c>
      <c r="BG232" s="50">
        <v>0</v>
      </c>
      <c r="BH232" s="49">
        <v>1</v>
      </c>
      <c r="BI232" s="50">
        <v>4.545454545454546</v>
      </c>
      <c r="BJ232" s="49">
        <v>0</v>
      </c>
      <c r="BK232" s="50">
        <v>0</v>
      </c>
      <c r="BL232" s="49">
        <v>21</v>
      </c>
      <c r="BM232" s="50">
        <v>95.45454545454545</v>
      </c>
      <c r="BN232" s="49">
        <v>22</v>
      </c>
    </row>
    <row r="233" spans="1:66" ht="15">
      <c r="A233" s="66" t="s">
        <v>305</v>
      </c>
      <c r="B233" s="66" t="s">
        <v>305</v>
      </c>
      <c r="C233" s="67" t="s">
        <v>2140</v>
      </c>
      <c r="D233" s="68">
        <v>3</v>
      </c>
      <c r="E233" s="69" t="s">
        <v>136</v>
      </c>
      <c r="F233" s="70">
        <v>6</v>
      </c>
      <c r="G233" s="67"/>
      <c r="H233" s="71"/>
      <c r="I233" s="72"/>
      <c r="J233" s="72"/>
      <c r="K233" s="35" t="s">
        <v>65</v>
      </c>
      <c r="L233" s="80">
        <v>233</v>
      </c>
      <c r="M233" s="80"/>
      <c r="N233" s="74"/>
      <c r="O233" s="82" t="s">
        <v>211</v>
      </c>
      <c r="P233" s="84">
        <v>44730.199016203704</v>
      </c>
      <c r="Q233" s="82" t="s">
        <v>491</v>
      </c>
      <c r="R233" s="82"/>
      <c r="S233" s="82"/>
      <c r="T233" s="82"/>
      <c r="U233" s="82"/>
      <c r="V233" s="85" t="str">
        <f>HYPERLINK("https://pbs.twimg.com/profile_images/825717962481029123/h6cXfTnb_normal.jpg")</f>
        <v>https://pbs.twimg.com/profile_images/825717962481029123/h6cXfTnb_normal.jpg</v>
      </c>
      <c r="W233" s="84">
        <v>44730.199016203704</v>
      </c>
      <c r="X233" s="89">
        <v>44730</v>
      </c>
      <c r="Y233" s="87" t="s">
        <v>607</v>
      </c>
      <c r="Z233" s="85" t="str">
        <f>HYPERLINK("https://twitter.com/chombotofficial/status/1538020325081763846")</f>
        <v>https://twitter.com/chombotofficial/status/1538020325081763846</v>
      </c>
      <c r="AA233" s="82"/>
      <c r="AB233" s="82"/>
      <c r="AC233" s="87" t="s">
        <v>910</v>
      </c>
      <c r="AD233" s="82"/>
      <c r="AE233" s="82" t="b">
        <v>0</v>
      </c>
      <c r="AF233" s="82">
        <v>0</v>
      </c>
      <c r="AG233" s="87" t="s">
        <v>957</v>
      </c>
      <c r="AH233" s="82" t="b">
        <v>0</v>
      </c>
      <c r="AI233" s="82" t="s">
        <v>973</v>
      </c>
      <c r="AJ233" s="82"/>
      <c r="AK233" s="87" t="s">
        <v>957</v>
      </c>
      <c r="AL233" s="82" t="b">
        <v>0</v>
      </c>
      <c r="AM233" s="82">
        <v>0</v>
      </c>
      <c r="AN233" s="87" t="s">
        <v>957</v>
      </c>
      <c r="AO233" s="87" t="s">
        <v>305</v>
      </c>
      <c r="AP233" s="82" t="b">
        <v>0</v>
      </c>
      <c r="AQ233" s="87" t="s">
        <v>910</v>
      </c>
      <c r="AR233" s="82" t="s">
        <v>211</v>
      </c>
      <c r="AS233" s="82">
        <v>0</v>
      </c>
      <c r="AT233" s="82">
        <v>0</v>
      </c>
      <c r="AU233" s="82"/>
      <c r="AV233" s="82"/>
      <c r="AW233" s="82"/>
      <c r="AX233" s="82"/>
      <c r="AY233" s="82"/>
      <c r="AZ233" s="82"/>
      <c r="BA233" s="82"/>
      <c r="BB233" s="82"/>
      <c r="BC233">
        <v>142</v>
      </c>
      <c r="BD233" s="81" t="str">
        <f>REPLACE(INDEX(GroupVertices[Group],MATCH(Edges[[#This Row],[Vertex 1]],GroupVertices[Vertex],0)),1,1,"")</f>
        <v>2</v>
      </c>
      <c r="BE233" s="81" t="str">
        <f>REPLACE(INDEX(GroupVertices[Group],MATCH(Edges[[#This Row],[Vertex 2]],GroupVertices[Vertex],0)),1,1,"")</f>
        <v>2</v>
      </c>
      <c r="BF233" s="49">
        <v>1</v>
      </c>
      <c r="BG233" s="50">
        <v>5.2631578947368425</v>
      </c>
      <c r="BH233" s="49">
        <v>0</v>
      </c>
      <c r="BI233" s="50">
        <v>0</v>
      </c>
      <c r="BJ233" s="49">
        <v>0</v>
      </c>
      <c r="BK233" s="50">
        <v>0</v>
      </c>
      <c r="BL233" s="49">
        <v>18</v>
      </c>
      <c r="BM233" s="50">
        <v>94.73684210526316</v>
      </c>
      <c r="BN233" s="49">
        <v>19</v>
      </c>
    </row>
    <row r="234" spans="1:66" ht="15">
      <c r="A234" s="66" t="s">
        <v>305</v>
      </c>
      <c r="B234" s="66" t="s">
        <v>305</v>
      </c>
      <c r="C234" s="67" t="s">
        <v>2140</v>
      </c>
      <c r="D234" s="68">
        <v>3</v>
      </c>
      <c r="E234" s="69" t="s">
        <v>136</v>
      </c>
      <c r="F234" s="70">
        <v>6</v>
      </c>
      <c r="G234" s="67"/>
      <c r="H234" s="71"/>
      <c r="I234" s="72"/>
      <c r="J234" s="72"/>
      <c r="K234" s="35" t="s">
        <v>65</v>
      </c>
      <c r="L234" s="80">
        <v>234</v>
      </c>
      <c r="M234" s="80"/>
      <c r="N234" s="74"/>
      <c r="O234" s="82" t="s">
        <v>211</v>
      </c>
      <c r="P234" s="84">
        <v>44730.31706018518</v>
      </c>
      <c r="Q234" s="82" t="s">
        <v>492</v>
      </c>
      <c r="R234" s="82"/>
      <c r="S234" s="82"/>
      <c r="T234" s="82"/>
      <c r="U234" s="82"/>
      <c r="V234" s="85" t="str">
        <f>HYPERLINK("https://pbs.twimg.com/profile_images/825717962481029123/h6cXfTnb_normal.jpg")</f>
        <v>https://pbs.twimg.com/profile_images/825717962481029123/h6cXfTnb_normal.jpg</v>
      </c>
      <c r="W234" s="84">
        <v>44730.31706018518</v>
      </c>
      <c r="X234" s="89">
        <v>44730</v>
      </c>
      <c r="Y234" s="87" t="s">
        <v>708</v>
      </c>
      <c r="Z234" s="85" t="str">
        <f>HYPERLINK("https://twitter.com/chombotofficial/status/1538063105414025216")</f>
        <v>https://twitter.com/chombotofficial/status/1538063105414025216</v>
      </c>
      <c r="AA234" s="82"/>
      <c r="AB234" s="82"/>
      <c r="AC234" s="87" t="s">
        <v>911</v>
      </c>
      <c r="AD234" s="82"/>
      <c r="AE234" s="82" t="b">
        <v>0</v>
      </c>
      <c r="AF234" s="82">
        <v>0</v>
      </c>
      <c r="AG234" s="87" t="s">
        <v>957</v>
      </c>
      <c r="AH234" s="82" t="b">
        <v>0</v>
      </c>
      <c r="AI234" s="82" t="s">
        <v>973</v>
      </c>
      <c r="AJ234" s="82"/>
      <c r="AK234" s="87" t="s">
        <v>957</v>
      </c>
      <c r="AL234" s="82" t="b">
        <v>0</v>
      </c>
      <c r="AM234" s="82">
        <v>0</v>
      </c>
      <c r="AN234" s="87" t="s">
        <v>957</v>
      </c>
      <c r="AO234" s="87" t="s">
        <v>305</v>
      </c>
      <c r="AP234" s="82" t="b">
        <v>0</v>
      </c>
      <c r="AQ234" s="87" t="s">
        <v>911</v>
      </c>
      <c r="AR234" s="82" t="s">
        <v>211</v>
      </c>
      <c r="AS234" s="82">
        <v>0</v>
      </c>
      <c r="AT234" s="82">
        <v>0</v>
      </c>
      <c r="AU234" s="82"/>
      <c r="AV234" s="82"/>
      <c r="AW234" s="82"/>
      <c r="AX234" s="82"/>
      <c r="AY234" s="82"/>
      <c r="AZ234" s="82"/>
      <c r="BA234" s="82"/>
      <c r="BB234" s="82"/>
      <c r="BC234">
        <v>142</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6" t="s">
        <v>305</v>
      </c>
      <c r="B235" s="66" t="s">
        <v>305</v>
      </c>
      <c r="C235" s="67" t="s">
        <v>2140</v>
      </c>
      <c r="D235" s="68">
        <v>3</v>
      </c>
      <c r="E235" s="69" t="s">
        <v>136</v>
      </c>
      <c r="F235" s="70">
        <v>6</v>
      </c>
      <c r="G235" s="67"/>
      <c r="H235" s="71"/>
      <c r="I235" s="72"/>
      <c r="J235" s="72"/>
      <c r="K235" s="35" t="s">
        <v>65</v>
      </c>
      <c r="L235" s="80">
        <v>235</v>
      </c>
      <c r="M235" s="80"/>
      <c r="N235" s="74"/>
      <c r="O235" s="82" t="s">
        <v>211</v>
      </c>
      <c r="P235" s="84">
        <v>44730.32400462963</v>
      </c>
      <c r="Q235" s="82" t="s">
        <v>493</v>
      </c>
      <c r="R235" s="82"/>
      <c r="S235" s="82"/>
      <c r="T235" s="82"/>
      <c r="U235" s="82"/>
      <c r="V235" s="85" t="str">
        <f>HYPERLINK("https://pbs.twimg.com/profile_images/825717962481029123/h6cXfTnb_normal.jpg")</f>
        <v>https://pbs.twimg.com/profile_images/825717962481029123/h6cXfTnb_normal.jpg</v>
      </c>
      <c r="W235" s="84">
        <v>44730.32400462963</v>
      </c>
      <c r="X235" s="89">
        <v>44730</v>
      </c>
      <c r="Y235" s="87" t="s">
        <v>709</v>
      </c>
      <c r="Z235" s="85" t="str">
        <f>HYPERLINK("https://twitter.com/chombotofficial/status/1538065622038458369")</f>
        <v>https://twitter.com/chombotofficial/status/1538065622038458369</v>
      </c>
      <c r="AA235" s="82"/>
      <c r="AB235" s="82"/>
      <c r="AC235" s="87" t="s">
        <v>912</v>
      </c>
      <c r="AD235" s="82"/>
      <c r="AE235" s="82" t="b">
        <v>0</v>
      </c>
      <c r="AF235" s="82">
        <v>0</v>
      </c>
      <c r="AG235" s="87" t="s">
        <v>957</v>
      </c>
      <c r="AH235" s="82" t="b">
        <v>0</v>
      </c>
      <c r="AI235" s="82" t="s">
        <v>973</v>
      </c>
      <c r="AJ235" s="82"/>
      <c r="AK235" s="87" t="s">
        <v>957</v>
      </c>
      <c r="AL235" s="82" t="b">
        <v>0</v>
      </c>
      <c r="AM235" s="82">
        <v>0</v>
      </c>
      <c r="AN235" s="87" t="s">
        <v>957</v>
      </c>
      <c r="AO235" s="87" t="s">
        <v>305</v>
      </c>
      <c r="AP235" s="82" t="b">
        <v>0</v>
      </c>
      <c r="AQ235" s="87" t="s">
        <v>912</v>
      </c>
      <c r="AR235" s="82" t="s">
        <v>211</v>
      </c>
      <c r="AS235" s="82">
        <v>0</v>
      </c>
      <c r="AT235" s="82">
        <v>0</v>
      </c>
      <c r="AU235" s="82"/>
      <c r="AV235" s="82"/>
      <c r="AW235" s="82"/>
      <c r="AX235" s="82"/>
      <c r="AY235" s="82"/>
      <c r="AZ235" s="82"/>
      <c r="BA235" s="82"/>
      <c r="BB235" s="82"/>
      <c r="BC235">
        <v>142</v>
      </c>
      <c r="BD235" s="81" t="str">
        <f>REPLACE(INDEX(GroupVertices[Group],MATCH(Edges[[#This Row],[Vertex 1]],GroupVertices[Vertex],0)),1,1,"")</f>
        <v>2</v>
      </c>
      <c r="BE235" s="81" t="str">
        <f>REPLACE(INDEX(GroupVertices[Group],MATCH(Edges[[#This Row],[Vertex 2]],GroupVertices[Vertex],0)),1,1,"")</f>
        <v>2</v>
      </c>
      <c r="BF235" s="49">
        <v>0</v>
      </c>
      <c r="BG235" s="50">
        <v>0</v>
      </c>
      <c r="BH235" s="49">
        <v>1</v>
      </c>
      <c r="BI235" s="50">
        <v>5.555555555555555</v>
      </c>
      <c r="BJ235" s="49">
        <v>0</v>
      </c>
      <c r="BK235" s="50">
        <v>0</v>
      </c>
      <c r="BL235" s="49">
        <v>17</v>
      </c>
      <c r="BM235" s="50">
        <v>94.44444444444444</v>
      </c>
      <c r="BN235" s="49">
        <v>18</v>
      </c>
    </row>
    <row r="236" spans="1:66" ht="15">
      <c r="A236" s="66" t="s">
        <v>305</v>
      </c>
      <c r="B236" s="66" t="s">
        <v>305</v>
      </c>
      <c r="C236" s="67" t="s">
        <v>2140</v>
      </c>
      <c r="D236" s="68">
        <v>3</v>
      </c>
      <c r="E236" s="69" t="s">
        <v>136</v>
      </c>
      <c r="F236" s="70">
        <v>6</v>
      </c>
      <c r="G236" s="67"/>
      <c r="H236" s="71"/>
      <c r="I236" s="72"/>
      <c r="J236" s="72"/>
      <c r="K236" s="35" t="s">
        <v>65</v>
      </c>
      <c r="L236" s="80">
        <v>236</v>
      </c>
      <c r="M236" s="80"/>
      <c r="N236" s="74"/>
      <c r="O236" s="82" t="s">
        <v>211</v>
      </c>
      <c r="P236" s="84">
        <v>44730.355266203704</v>
      </c>
      <c r="Q236" s="82" t="s">
        <v>494</v>
      </c>
      <c r="R236" s="82"/>
      <c r="S236" s="82"/>
      <c r="T236" s="82"/>
      <c r="U236" s="82"/>
      <c r="V236" s="85" t="str">
        <f>HYPERLINK("https://pbs.twimg.com/profile_images/825717962481029123/h6cXfTnb_normal.jpg")</f>
        <v>https://pbs.twimg.com/profile_images/825717962481029123/h6cXfTnb_normal.jpg</v>
      </c>
      <c r="W236" s="84">
        <v>44730.355266203704</v>
      </c>
      <c r="X236" s="89">
        <v>44730</v>
      </c>
      <c r="Y236" s="87" t="s">
        <v>658</v>
      </c>
      <c r="Z236" s="85" t="str">
        <f>HYPERLINK("https://twitter.com/chombotofficial/status/1538076948102004736")</f>
        <v>https://twitter.com/chombotofficial/status/1538076948102004736</v>
      </c>
      <c r="AA236" s="82"/>
      <c r="AB236" s="82"/>
      <c r="AC236" s="87" t="s">
        <v>913</v>
      </c>
      <c r="AD236" s="82"/>
      <c r="AE236" s="82" t="b">
        <v>0</v>
      </c>
      <c r="AF236" s="82">
        <v>0</v>
      </c>
      <c r="AG236" s="87" t="s">
        <v>957</v>
      </c>
      <c r="AH236" s="82" t="b">
        <v>0</v>
      </c>
      <c r="AI236" s="82" t="s">
        <v>973</v>
      </c>
      <c r="AJ236" s="82"/>
      <c r="AK236" s="87" t="s">
        <v>957</v>
      </c>
      <c r="AL236" s="82" t="b">
        <v>0</v>
      </c>
      <c r="AM236" s="82">
        <v>0</v>
      </c>
      <c r="AN236" s="87" t="s">
        <v>957</v>
      </c>
      <c r="AO236" s="87" t="s">
        <v>305</v>
      </c>
      <c r="AP236" s="82" t="b">
        <v>0</v>
      </c>
      <c r="AQ236" s="87" t="s">
        <v>913</v>
      </c>
      <c r="AR236" s="82" t="s">
        <v>211</v>
      </c>
      <c r="AS236" s="82">
        <v>0</v>
      </c>
      <c r="AT236" s="82">
        <v>0</v>
      </c>
      <c r="AU236" s="82"/>
      <c r="AV236" s="82"/>
      <c r="AW236" s="82"/>
      <c r="AX236" s="82"/>
      <c r="AY236" s="82"/>
      <c r="AZ236" s="82"/>
      <c r="BA236" s="82"/>
      <c r="BB236" s="82"/>
      <c r="BC236">
        <v>142</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20</v>
      </c>
      <c r="BM236" s="50">
        <v>100</v>
      </c>
      <c r="BN236" s="49">
        <v>20</v>
      </c>
    </row>
    <row r="237" spans="1:66" ht="15">
      <c r="A237" s="66" t="s">
        <v>305</v>
      </c>
      <c r="B237" s="66" t="s">
        <v>305</v>
      </c>
      <c r="C237" s="67" t="s">
        <v>2140</v>
      </c>
      <c r="D237" s="68">
        <v>3</v>
      </c>
      <c r="E237" s="69" t="s">
        <v>136</v>
      </c>
      <c r="F237" s="70">
        <v>6</v>
      </c>
      <c r="G237" s="67"/>
      <c r="H237" s="71"/>
      <c r="I237" s="72"/>
      <c r="J237" s="72"/>
      <c r="K237" s="35" t="s">
        <v>65</v>
      </c>
      <c r="L237" s="80">
        <v>237</v>
      </c>
      <c r="M237" s="80"/>
      <c r="N237" s="74"/>
      <c r="O237" s="82" t="s">
        <v>211</v>
      </c>
      <c r="P237" s="84">
        <v>44730.40733796296</v>
      </c>
      <c r="Q237" s="82" t="s">
        <v>495</v>
      </c>
      <c r="R237" s="82"/>
      <c r="S237" s="82"/>
      <c r="T237" s="82"/>
      <c r="U237" s="82"/>
      <c r="V237" s="85" t="str">
        <f>HYPERLINK("https://pbs.twimg.com/profile_images/825717962481029123/h6cXfTnb_normal.jpg")</f>
        <v>https://pbs.twimg.com/profile_images/825717962481029123/h6cXfTnb_normal.jpg</v>
      </c>
      <c r="W237" s="84">
        <v>44730.40733796296</v>
      </c>
      <c r="X237" s="89">
        <v>44730</v>
      </c>
      <c r="Y237" s="87" t="s">
        <v>710</v>
      </c>
      <c r="Z237" s="85" t="str">
        <f>HYPERLINK("https://twitter.com/chombotofficial/status/1538095820662312960")</f>
        <v>https://twitter.com/chombotofficial/status/1538095820662312960</v>
      </c>
      <c r="AA237" s="82"/>
      <c r="AB237" s="82"/>
      <c r="AC237" s="87" t="s">
        <v>914</v>
      </c>
      <c r="AD237" s="82"/>
      <c r="AE237" s="82" t="b">
        <v>0</v>
      </c>
      <c r="AF237" s="82">
        <v>0</v>
      </c>
      <c r="AG237" s="87" t="s">
        <v>957</v>
      </c>
      <c r="AH237" s="82" t="b">
        <v>0</v>
      </c>
      <c r="AI237" s="82" t="s">
        <v>973</v>
      </c>
      <c r="AJ237" s="82"/>
      <c r="AK237" s="87" t="s">
        <v>957</v>
      </c>
      <c r="AL237" s="82" t="b">
        <v>0</v>
      </c>
      <c r="AM237" s="82">
        <v>0</v>
      </c>
      <c r="AN237" s="87" t="s">
        <v>957</v>
      </c>
      <c r="AO237" s="87" t="s">
        <v>305</v>
      </c>
      <c r="AP237" s="82" t="b">
        <v>0</v>
      </c>
      <c r="AQ237" s="87" t="s">
        <v>914</v>
      </c>
      <c r="AR237" s="82" t="s">
        <v>211</v>
      </c>
      <c r="AS237" s="82">
        <v>0</v>
      </c>
      <c r="AT237" s="82">
        <v>0</v>
      </c>
      <c r="AU237" s="82"/>
      <c r="AV237" s="82"/>
      <c r="AW237" s="82"/>
      <c r="AX237" s="82"/>
      <c r="AY237" s="82"/>
      <c r="AZ237" s="82"/>
      <c r="BA237" s="82"/>
      <c r="BB237" s="82"/>
      <c r="BC237">
        <v>142</v>
      </c>
      <c r="BD237" s="81" t="str">
        <f>REPLACE(INDEX(GroupVertices[Group],MATCH(Edges[[#This Row],[Vertex 1]],GroupVertices[Vertex],0)),1,1,"")</f>
        <v>2</v>
      </c>
      <c r="BE237" s="81" t="str">
        <f>REPLACE(INDEX(GroupVertices[Group],MATCH(Edges[[#This Row],[Vertex 2]],GroupVertices[Vertex],0)),1,1,"")</f>
        <v>2</v>
      </c>
      <c r="BF237" s="49">
        <v>0</v>
      </c>
      <c r="BG237" s="50">
        <v>0</v>
      </c>
      <c r="BH237" s="49">
        <v>0</v>
      </c>
      <c r="BI237" s="50">
        <v>0</v>
      </c>
      <c r="BJ237" s="49">
        <v>0</v>
      </c>
      <c r="BK237" s="50">
        <v>0</v>
      </c>
      <c r="BL237" s="49">
        <v>17</v>
      </c>
      <c r="BM237" s="50">
        <v>100</v>
      </c>
      <c r="BN237" s="49">
        <v>17</v>
      </c>
    </row>
    <row r="238" spans="1:66" ht="15">
      <c r="A238" s="66" t="s">
        <v>305</v>
      </c>
      <c r="B238" s="66" t="s">
        <v>305</v>
      </c>
      <c r="C238" s="67" t="s">
        <v>2140</v>
      </c>
      <c r="D238" s="68">
        <v>3</v>
      </c>
      <c r="E238" s="69" t="s">
        <v>136</v>
      </c>
      <c r="F238" s="70">
        <v>6</v>
      </c>
      <c r="G238" s="67"/>
      <c r="H238" s="71"/>
      <c r="I238" s="72"/>
      <c r="J238" s="72"/>
      <c r="K238" s="35" t="s">
        <v>65</v>
      </c>
      <c r="L238" s="80">
        <v>238</v>
      </c>
      <c r="M238" s="80"/>
      <c r="N238" s="74"/>
      <c r="O238" s="82" t="s">
        <v>211</v>
      </c>
      <c r="P238" s="84">
        <v>44730.51498842592</v>
      </c>
      <c r="Q238" s="82" t="s">
        <v>496</v>
      </c>
      <c r="R238" s="82"/>
      <c r="S238" s="82"/>
      <c r="T238" s="82"/>
      <c r="U238" s="82"/>
      <c r="V238" s="85" t="str">
        <f>HYPERLINK("https://pbs.twimg.com/profile_images/825717962481029123/h6cXfTnb_normal.jpg")</f>
        <v>https://pbs.twimg.com/profile_images/825717962481029123/h6cXfTnb_normal.jpg</v>
      </c>
      <c r="W238" s="84">
        <v>44730.51498842592</v>
      </c>
      <c r="X238" s="89">
        <v>44730</v>
      </c>
      <c r="Y238" s="87" t="s">
        <v>612</v>
      </c>
      <c r="Z238" s="85" t="str">
        <f>HYPERLINK("https://twitter.com/chombotofficial/status/1538134829132300290")</f>
        <v>https://twitter.com/chombotofficial/status/1538134829132300290</v>
      </c>
      <c r="AA238" s="82"/>
      <c r="AB238" s="82"/>
      <c r="AC238" s="87" t="s">
        <v>915</v>
      </c>
      <c r="AD238" s="82"/>
      <c r="AE238" s="82" t="b">
        <v>0</v>
      </c>
      <c r="AF238" s="82">
        <v>0</v>
      </c>
      <c r="AG238" s="87" t="s">
        <v>957</v>
      </c>
      <c r="AH238" s="82" t="b">
        <v>0</v>
      </c>
      <c r="AI238" s="82" t="s">
        <v>973</v>
      </c>
      <c r="AJ238" s="82"/>
      <c r="AK238" s="87" t="s">
        <v>957</v>
      </c>
      <c r="AL238" s="82" t="b">
        <v>0</v>
      </c>
      <c r="AM238" s="82">
        <v>0</v>
      </c>
      <c r="AN238" s="87" t="s">
        <v>957</v>
      </c>
      <c r="AO238" s="87" t="s">
        <v>305</v>
      </c>
      <c r="AP238" s="82" t="b">
        <v>0</v>
      </c>
      <c r="AQ238" s="87" t="s">
        <v>915</v>
      </c>
      <c r="AR238" s="82" t="s">
        <v>211</v>
      </c>
      <c r="AS238" s="82">
        <v>0</v>
      </c>
      <c r="AT238" s="82">
        <v>0</v>
      </c>
      <c r="AU238" s="82"/>
      <c r="AV238" s="82"/>
      <c r="AW238" s="82"/>
      <c r="AX238" s="82"/>
      <c r="AY238" s="82"/>
      <c r="AZ238" s="82"/>
      <c r="BA238" s="82"/>
      <c r="BB238" s="82"/>
      <c r="BC238">
        <v>142</v>
      </c>
      <c r="BD238" s="81" t="str">
        <f>REPLACE(INDEX(GroupVertices[Group],MATCH(Edges[[#This Row],[Vertex 1]],GroupVertices[Vertex],0)),1,1,"")</f>
        <v>2</v>
      </c>
      <c r="BE238" s="81" t="str">
        <f>REPLACE(INDEX(GroupVertices[Group],MATCH(Edges[[#This Row],[Vertex 2]],GroupVertices[Vertex],0)),1,1,"")</f>
        <v>2</v>
      </c>
      <c r="BF238" s="49">
        <v>0</v>
      </c>
      <c r="BG238" s="50">
        <v>0</v>
      </c>
      <c r="BH238" s="49">
        <v>0</v>
      </c>
      <c r="BI238" s="50">
        <v>0</v>
      </c>
      <c r="BJ238" s="49">
        <v>0</v>
      </c>
      <c r="BK238" s="50">
        <v>0</v>
      </c>
      <c r="BL238" s="49">
        <v>18</v>
      </c>
      <c r="BM238" s="50">
        <v>100</v>
      </c>
      <c r="BN238" s="49">
        <v>18</v>
      </c>
    </row>
    <row r="239" spans="1:66" ht="15">
      <c r="A239" s="66" t="s">
        <v>305</v>
      </c>
      <c r="B239" s="66" t="s">
        <v>305</v>
      </c>
      <c r="C239" s="67" t="s">
        <v>2140</v>
      </c>
      <c r="D239" s="68">
        <v>3</v>
      </c>
      <c r="E239" s="69" t="s">
        <v>136</v>
      </c>
      <c r="F239" s="70">
        <v>6</v>
      </c>
      <c r="G239" s="67"/>
      <c r="H239" s="71"/>
      <c r="I239" s="72"/>
      <c r="J239" s="72"/>
      <c r="K239" s="35" t="s">
        <v>65</v>
      </c>
      <c r="L239" s="80">
        <v>239</v>
      </c>
      <c r="M239" s="80"/>
      <c r="N239" s="74"/>
      <c r="O239" s="82" t="s">
        <v>211</v>
      </c>
      <c r="P239" s="84">
        <v>44730.525405092594</v>
      </c>
      <c r="Q239" s="82" t="s">
        <v>497</v>
      </c>
      <c r="R239" s="82"/>
      <c r="S239" s="82"/>
      <c r="T239" s="82"/>
      <c r="U239" s="82"/>
      <c r="V239" s="85" t="str">
        <f>HYPERLINK("https://pbs.twimg.com/profile_images/825717962481029123/h6cXfTnb_normal.jpg")</f>
        <v>https://pbs.twimg.com/profile_images/825717962481029123/h6cXfTnb_normal.jpg</v>
      </c>
      <c r="W239" s="84">
        <v>44730.525405092594</v>
      </c>
      <c r="X239" s="89">
        <v>44730</v>
      </c>
      <c r="Y239" s="87" t="s">
        <v>711</v>
      </c>
      <c r="Z239" s="85" t="str">
        <f>HYPERLINK("https://twitter.com/chombotofficial/status/1538138603997609984")</f>
        <v>https://twitter.com/chombotofficial/status/1538138603997609984</v>
      </c>
      <c r="AA239" s="82"/>
      <c r="AB239" s="82"/>
      <c r="AC239" s="87" t="s">
        <v>916</v>
      </c>
      <c r="AD239" s="82"/>
      <c r="AE239" s="82" t="b">
        <v>0</v>
      </c>
      <c r="AF239" s="82">
        <v>0</v>
      </c>
      <c r="AG239" s="87" t="s">
        <v>957</v>
      </c>
      <c r="AH239" s="82" t="b">
        <v>0</v>
      </c>
      <c r="AI239" s="82" t="s">
        <v>973</v>
      </c>
      <c r="AJ239" s="82"/>
      <c r="AK239" s="87" t="s">
        <v>957</v>
      </c>
      <c r="AL239" s="82" t="b">
        <v>0</v>
      </c>
      <c r="AM239" s="82">
        <v>0</v>
      </c>
      <c r="AN239" s="87" t="s">
        <v>957</v>
      </c>
      <c r="AO239" s="87" t="s">
        <v>305</v>
      </c>
      <c r="AP239" s="82" t="b">
        <v>0</v>
      </c>
      <c r="AQ239" s="87" t="s">
        <v>916</v>
      </c>
      <c r="AR239" s="82" t="s">
        <v>211</v>
      </c>
      <c r="AS239" s="82">
        <v>0</v>
      </c>
      <c r="AT239" s="82">
        <v>0</v>
      </c>
      <c r="AU239" s="82"/>
      <c r="AV239" s="82"/>
      <c r="AW239" s="82"/>
      <c r="AX239" s="82"/>
      <c r="AY239" s="82"/>
      <c r="AZ239" s="82"/>
      <c r="BA239" s="82"/>
      <c r="BB239" s="82"/>
      <c r="BC239">
        <v>142</v>
      </c>
      <c r="BD239" s="81" t="str">
        <f>REPLACE(INDEX(GroupVertices[Group],MATCH(Edges[[#This Row],[Vertex 1]],GroupVertices[Vertex],0)),1,1,"")</f>
        <v>2</v>
      </c>
      <c r="BE239" s="81" t="str">
        <f>REPLACE(INDEX(GroupVertices[Group],MATCH(Edges[[#This Row],[Vertex 2]],GroupVertices[Vertex],0)),1,1,"")</f>
        <v>2</v>
      </c>
      <c r="BF239" s="49">
        <v>0</v>
      </c>
      <c r="BG239" s="50">
        <v>0</v>
      </c>
      <c r="BH239" s="49">
        <v>0</v>
      </c>
      <c r="BI239" s="50">
        <v>0</v>
      </c>
      <c r="BJ239" s="49">
        <v>0</v>
      </c>
      <c r="BK239" s="50">
        <v>0</v>
      </c>
      <c r="BL239" s="49">
        <v>22</v>
      </c>
      <c r="BM239" s="50">
        <v>100</v>
      </c>
      <c r="BN239" s="49">
        <v>22</v>
      </c>
    </row>
    <row r="240" spans="1:66" ht="15">
      <c r="A240" s="66" t="s">
        <v>305</v>
      </c>
      <c r="B240" s="66" t="s">
        <v>305</v>
      </c>
      <c r="C240" s="67" t="s">
        <v>2140</v>
      </c>
      <c r="D240" s="68">
        <v>3</v>
      </c>
      <c r="E240" s="69" t="s">
        <v>136</v>
      </c>
      <c r="F240" s="70">
        <v>6</v>
      </c>
      <c r="G240" s="67"/>
      <c r="H240" s="71"/>
      <c r="I240" s="72"/>
      <c r="J240" s="72"/>
      <c r="K240" s="35" t="s">
        <v>65</v>
      </c>
      <c r="L240" s="80">
        <v>240</v>
      </c>
      <c r="M240" s="80"/>
      <c r="N240" s="74"/>
      <c r="O240" s="82" t="s">
        <v>211</v>
      </c>
      <c r="P240" s="84">
        <v>44730.56012731481</v>
      </c>
      <c r="Q240" s="82" t="s">
        <v>498</v>
      </c>
      <c r="R240" s="82"/>
      <c r="S240" s="82"/>
      <c r="T240" s="82"/>
      <c r="U240" s="82"/>
      <c r="V240" s="85" t="str">
        <f>HYPERLINK("https://pbs.twimg.com/profile_images/825717962481029123/h6cXfTnb_normal.jpg")</f>
        <v>https://pbs.twimg.com/profile_images/825717962481029123/h6cXfTnb_normal.jpg</v>
      </c>
      <c r="W240" s="84">
        <v>44730.56012731481</v>
      </c>
      <c r="X240" s="89">
        <v>44730</v>
      </c>
      <c r="Y240" s="87" t="s">
        <v>712</v>
      </c>
      <c r="Z240" s="85" t="str">
        <f>HYPERLINK("https://twitter.com/chombotofficial/status/1538151188365033476")</f>
        <v>https://twitter.com/chombotofficial/status/1538151188365033476</v>
      </c>
      <c r="AA240" s="82"/>
      <c r="AB240" s="82"/>
      <c r="AC240" s="87" t="s">
        <v>917</v>
      </c>
      <c r="AD240" s="82"/>
      <c r="AE240" s="82" t="b">
        <v>0</v>
      </c>
      <c r="AF240" s="82">
        <v>0</v>
      </c>
      <c r="AG240" s="87" t="s">
        <v>957</v>
      </c>
      <c r="AH240" s="82" t="b">
        <v>0</v>
      </c>
      <c r="AI240" s="82" t="s">
        <v>973</v>
      </c>
      <c r="AJ240" s="82"/>
      <c r="AK240" s="87" t="s">
        <v>957</v>
      </c>
      <c r="AL240" s="82" t="b">
        <v>0</v>
      </c>
      <c r="AM240" s="82">
        <v>0</v>
      </c>
      <c r="AN240" s="87" t="s">
        <v>957</v>
      </c>
      <c r="AO240" s="87" t="s">
        <v>305</v>
      </c>
      <c r="AP240" s="82" t="b">
        <v>0</v>
      </c>
      <c r="AQ240" s="87" t="s">
        <v>917</v>
      </c>
      <c r="AR240" s="82" t="s">
        <v>211</v>
      </c>
      <c r="AS240" s="82">
        <v>0</v>
      </c>
      <c r="AT240" s="82">
        <v>0</v>
      </c>
      <c r="AU240" s="82"/>
      <c r="AV240" s="82"/>
      <c r="AW240" s="82"/>
      <c r="AX240" s="82"/>
      <c r="AY240" s="82"/>
      <c r="AZ240" s="82"/>
      <c r="BA240" s="82"/>
      <c r="BB240" s="82"/>
      <c r="BC240">
        <v>142</v>
      </c>
      <c r="BD240" s="81" t="str">
        <f>REPLACE(INDEX(GroupVertices[Group],MATCH(Edges[[#This Row],[Vertex 1]],GroupVertices[Vertex],0)),1,1,"")</f>
        <v>2</v>
      </c>
      <c r="BE240" s="81" t="str">
        <f>REPLACE(INDEX(GroupVertices[Group],MATCH(Edges[[#This Row],[Vertex 2]],GroupVertices[Vertex],0)),1,1,"")</f>
        <v>2</v>
      </c>
      <c r="BF240" s="49">
        <v>0</v>
      </c>
      <c r="BG240" s="50">
        <v>0</v>
      </c>
      <c r="BH240" s="49">
        <v>1</v>
      </c>
      <c r="BI240" s="50">
        <v>4.3478260869565215</v>
      </c>
      <c r="BJ240" s="49">
        <v>0</v>
      </c>
      <c r="BK240" s="50">
        <v>0</v>
      </c>
      <c r="BL240" s="49">
        <v>22</v>
      </c>
      <c r="BM240" s="50">
        <v>95.65217391304348</v>
      </c>
      <c r="BN240" s="49">
        <v>23</v>
      </c>
    </row>
    <row r="241" spans="1:66" ht="15">
      <c r="A241" s="66" t="s">
        <v>305</v>
      </c>
      <c r="B241" s="66" t="s">
        <v>305</v>
      </c>
      <c r="C241" s="67" t="s">
        <v>2140</v>
      </c>
      <c r="D241" s="68">
        <v>3</v>
      </c>
      <c r="E241" s="69" t="s">
        <v>136</v>
      </c>
      <c r="F241" s="70">
        <v>6</v>
      </c>
      <c r="G241" s="67"/>
      <c r="H241" s="71"/>
      <c r="I241" s="72"/>
      <c r="J241" s="72"/>
      <c r="K241" s="35" t="s">
        <v>65</v>
      </c>
      <c r="L241" s="80">
        <v>241</v>
      </c>
      <c r="M241" s="80"/>
      <c r="N241" s="74"/>
      <c r="O241" s="82" t="s">
        <v>211</v>
      </c>
      <c r="P241" s="84">
        <v>44730.62262731481</v>
      </c>
      <c r="Q241" s="82" t="s">
        <v>499</v>
      </c>
      <c r="R241" s="82"/>
      <c r="S241" s="82"/>
      <c r="T241" s="82"/>
      <c r="U241" s="82"/>
      <c r="V241" s="85" t="str">
        <f>HYPERLINK("https://pbs.twimg.com/profile_images/825717962481029123/h6cXfTnb_normal.jpg")</f>
        <v>https://pbs.twimg.com/profile_images/825717962481029123/h6cXfTnb_normal.jpg</v>
      </c>
      <c r="W241" s="84">
        <v>44730.62262731481</v>
      </c>
      <c r="X241" s="89">
        <v>44730</v>
      </c>
      <c r="Y241" s="87" t="s">
        <v>713</v>
      </c>
      <c r="Z241" s="85" t="str">
        <f>HYPERLINK("https://twitter.com/chombotofficial/status/1538173836088250369")</f>
        <v>https://twitter.com/chombotofficial/status/1538173836088250369</v>
      </c>
      <c r="AA241" s="82"/>
      <c r="AB241" s="82"/>
      <c r="AC241" s="87" t="s">
        <v>918</v>
      </c>
      <c r="AD241" s="82"/>
      <c r="AE241" s="82" t="b">
        <v>0</v>
      </c>
      <c r="AF241" s="82">
        <v>0</v>
      </c>
      <c r="AG241" s="87" t="s">
        <v>957</v>
      </c>
      <c r="AH241" s="82" t="b">
        <v>0</v>
      </c>
      <c r="AI241" s="82" t="s">
        <v>973</v>
      </c>
      <c r="AJ241" s="82"/>
      <c r="AK241" s="87" t="s">
        <v>957</v>
      </c>
      <c r="AL241" s="82" t="b">
        <v>0</v>
      </c>
      <c r="AM241" s="82">
        <v>0</v>
      </c>
      <c r="AN241" s="87" t="s">
        <v>957</v>
      </c>
      <c r="AO241" s="87" t="s">
        <v>305</v>
      </c>
      <c r="AP241" s="82" t="b">
        <v>0</v>
      </c>
      <c r="AQ241" s="87" t="s">
        <v>918</v>
      </c>
      <c r="AR241" s="82" t="s">
        <v>211</v>
      </c>
      <c r="AS241" s="82">
        <v>0</v>
      </c>
      <c r="AT241" s="82">
        <v>0</v>
      </c>
      <c r="AU241" s="82"/>
      <c r="AV241" s="82"/>
      <c r="AW241" s="82"/>
      <c r="AX241" s="82"/>
      <c r="AY241" s="82"/>
      <c r="AZ241" s="82"/>
      <c r="BA241" s="82"/>
      <c r="BB241" s="82"/>
      <c r="BC241">
        <v>142</v>
      </c>
      <c r="BD241" s="81" t="str">
        <f>REPLACE(INDEX(GroupVertices[Group],MATCH(Edges[[#This Row],[Vertex 1]],GroupVertices[Vertex],0)),1,1,"")</f>
        <v>2</v>
      </c>
      <c r="BE241" s="81" t="str">
        <f>REPLACE(INDEX(GroupVertices[Group],MATCH(Edges[[#This Row],[Vertex 2]],GroupVertices[Vertex],0)),1,1,"")</f>
        <v>2</v>
      </c>
      <c r="BF241" s="49">
        <v>0</v>
      </c>
      <c r="BG241" s="50">
        <v>0</v>
      </c>
      <c r="BH241" s="49">
        <v>0</v>
      </c>
      <c r="BI241" s="50">
        <v>0</v>
      </c>
      <c r="BJ241" s="49">
        <v>0</v>
      </c>
      <c r="BK241" s="50">
        <v>0</v>
      </c>
      <c r="BL241" s="49">
        <v>22</v>
      </c>
      <c r="BM241" s="50">
        <v>100</v>
      </c>
      <c r="BN241" s="49">
        <v>22</v>
      </c>
    </row>
    <row r="242" spans="1:66" ht="15">
      <c r="A242" s="66" t="s">
        <v>305</v>
      </c>
      <c r="B242" s="66" t="s">
        <v>305</v>
      </c>
      <c r="C242" s="67" t="s">
        <v>2140</v>
      </c>
      <c r="D242" s="68">
        <v>3</v>
      </c>
      <c r="E242" s="69" t="s">
        <v>136</v>
      </c>
      <c r="F242" s="70">
        <v>6</v>
      </c>
      <c r="G242" s="67"/>
      <c r="H242" s="71"/>
      <c r="I242" s="72"/>
      <c r="J242" s="72"/>
      <c r="K242" s="35" t="s">
        <v>65</v>
      </c>
      <c r="L242" s="80">
        <v>242</v>
      </c>
      <c r="M242" s="80"/>
      <c r="N242" s="74"/>
      <c r="O242" s="82" t="s">
        <v>211</v>
      </c>
      <c r="P242" s="84">
        <v>44730.695543981485</v>
      </c>
      <c r="Q242" s="82" t="s">
        <v>500</v>
      </c>
      <c r="R242" s="82"/>
      <c r="S242" s="82"/>
      <c r="T242" s="82"/>
      <c r="U242" s="82"/>
      <c r="V242" s="85" t="str">
        <f>HYPERLINK("https://pbs.twimg.com/profile_images/825717962481029123/h6cXfTnb_normal.jpg")</f>
        <v>https://pbs.twimg.com/profile_images/825717962481029123/h6cXfTnb_normal.jpg</v>
      </c>
      <c r="W242" s="84">
        <v>44730.695543981485</v>
      </c>
      <c r="X242" s="89">
        <v>44730</v>
      </c>
      <c r="Y242" s="87" t="s">
        <v>714</v>
      </c>
      <c r="Z242" s="85" t="str">
        <f>HYPERLINK("https://twitter.com/chombotofficial/status/1538200261520416771")</f>
        <v>https://twitter.com/chombotofficial/status/1538200261520416771</v>
      </c>
      <c r="AA242" s="82"/>
      <c r="AB242" s="82"/>
      <c r="AC242" s="87" t="s">
        <v>919</v>
      </c>
      <c r="AD242" s="82"/>
      <c r="AE242" s="82" t="b">
        <v>0</v>
      </c>
      <c r="AF242" s="82">
        <v>0</v>
      </c>
      <c r="AG242" s="87" t="s">
        <v>957</v>
      </c>
      <c r="AH242" s="82" t="b">
        <v>0</v>
      </c>
      <c r="AI242" s="82" t="s">
        <v>973</v>
      </c>
      <c r="AJ242" s="82"/>
      <c r="AK242" s="87" t="s">
        <v>957</v>
      </c>
      <c r="AL242" s="82" t="b">
        <v>0</v>
      </c>
      <c r="AM242" s="82">
        <v>0</v>
      </c>
      <c r="AN242" s="87" t="s">
        <v>957</v>
      </c>
      <c r="AO242" s="87" t="s">
        <v>305</v>
      </c>
      <c r="AP242" s="82" t="b">
        <v>0</v>
      </c>
      <c r="AQ242" s="87" t="s">
        <v>919</v>
      </c>
      <c r="AR242" s="82" t="s">
        <v>211</v>
      </c>
      <c r="AS242" s="82">
        <v>0</v>
      </c>
      <c r="AT242" s="82">
        <v>0</v>
      </c>
      <c r="AU242" s="82"/>
      <c r="AV242" s="82"/>
      <c r="AW242" s="82"/>
      <c r="AX242" s="82"/>
      <c r="AY242" s="82"/>
      <c r="AZ242" s="82"/>
      <c r="BA242" s="82"/>
      <c r="BB242" s="82"/>
      <c r="BC242">
        <v>142</v>
      </c>
      <c r="BD242" s="81" t="str">
        <f>REPLACE(INDEX(GroupVertices[Group],MATCH(Edges[[#This Row],[Vertex 1]],GroupVertices[Vertex],0)),1,1,"")</f>
        <v>2</v>
      </c>
      <c r="BE242" s="81" t="str">
        <f>REPLACE(INDEX(GroupVertices[Group],MATCH(Edges[[#This Row],[Vertex 2]],GroupVertices[Vertex],0)),1,1,"")</f>
        <v>2</v>
      </c>
      <c r="BF242" s="49">
        <v>0</v>
      </c>
      <c r="BG242" s="50">
        <v>0</v>
      </c>
      <c r="BH242" s="49">
        <v>0</v>
      </c>
      <c r="BI242" s="50">
        <v>0</v>
      </c>
      <c r="BJ242" s="49">
        <v>0</v>
      </c>
      <c r="BK242" s="50">
        <v>0</v>
      </c>
      <c r="BL242" s="49">
        <v>6</v>
      </c>
      <c r="BM242" s="50">
        <v>100</v>
      </c>
      <c r="BN242" s="49">
        <v>6</v>
      </c>
    </row>
    <row r="243" spans="1:66" ht="15">
      <c r="A243" s="66" t="s">
        <v>305</v>
      </c>
      <c r="B243" s="66" t="s">
        <v>305</v>
      </c>
      <c r="C243" s="67" t="s">
        <v>2140</v>
      </c>
      <c r="D243" s="68">
        <v>3</v>
      </c>
      <c r="E243" s="69" t="s">
        <v>136</v>
      </c>
      <c r="F243" s="70">
        <v>6</v>
      </c>
      <c r="G243" s="67"/>
      <c r="H243" s="71"/>
      <c r="I243" s="72"/>
      <c r="J243" s="72"/>
      <c r="K243" s="35" t="s">
        <v>65</v>
      </c>
      <c r="L243" s="80">
        <v>243</v>
      </c>
      <c r="M243" s="80"/>
      <c r="N243" s="74"/>
      <c r="O243" s="82" t="s">
        <v>211</v>
      </c>
      <c r="P243" s="84">
        <v>44730.69900462963</v>
      </c>
      <c r="Q243" s="82" t="s">
        <v>501</v>
      </c>
      <c r="R243" s="82"/>
      <c r="S243" s="82"/>
      <c r="T243" s="82"/>
      <c r="U243" s="82"/>
      <c r="V243" s="85" t="str">
        <f>HYPERLINK("https://pbs.twimg.com/profile_images/825717962481029123/h6cXfTnb_normal.jpg")</f>
        <v>https://pbs.twimg.com/profile_images/825717962481029123/h6cXfTnb_normal.jpg</v>
      </c>
      <c r="W243" s="84">
        <v>44730.69900462963</v>
      </c>
      <c r="X243" s="89">
        <v>44730</v>
      </c>
      <c r="Y243" s="87" t="s">
        <v>715</v>
      </c>
      <c r="Z243" s="85" t="str">
        <f>HYPERLINK("https://twitter.com/chombotofficial/status/1538201517869654016")</f>
        <v>https://twitter.com/chombotofficial/status/1538201517869654016</v>
      </c>
      <c r="AA243" s="82"/>
      <c r="AB243" s="82"/>
      <c r="AC243" s="87" t="s">
        <v>920</v>
      </c>
      <c r="AD243" s="82"/>
      <c r="AE243" s="82" t="b">
        <v>0</v>
      </c>
      <c r="AF243" s="82">
        <v>0</v>
      </c>
      <c r="AG243" s="87" t="s">
        <v>957</v>
      </c>
      <c r="AH243" s="82" t="b">
        <v>0</v>
      </c>
      <c r="AI243" s="82" t="s">
        <v>973</v>
      </c>
      <c r="AJ243" s="82"/>
      <c r="AK243" s="87" t="s">
        <v>957</v>
      </c>
      <c r="AL243" s="82" t="b">
        <v>0</v>
      </c>
      <c r="AM243" s="82">
        <v>0</v>
      </c>
      <c r="AN243" s="87" t="s">
        <v>957</v>
      </c>
      <c r="AO243" s="87" t="s">
        <v>305</v>
      </c>
      <c r="AP243" s="82" t="b">
        <v>0</v>
      </c>
      <c r="AQ243" s="87" t="s">
        <v>920</v>
      </c>
      <c r="AR243" s="82" t="s">
        <v>211</v>
      </c>
      <c r="AS243" s="82">
        <v>0</v>
      </c>
      <c r="AT243" s="82">
        <v>0</v>
      </c>
      <c r="AU243" s="82"/>
      <c r="AV243" s="82"/>
      <c r="AW243" s="82"/>
      <c r="AX243" s="82"/>
      <c r="AY243" s="82"/>
      <c r="AZ243" s="82"/>
      <c r="BA243" s="82"/>
      <c r="BB243" s="82"/>
      <c r="BC243">
        <v>142</v>
      </c>
      <c r="BD243" s="81" t="str">
        <f>REPLACE(INDEX(GroupVertices[Group],MATCH(Edges[[#This Row],[Vertex 1]],GroupVertices[Vertex],0)),1,1,"")</f>
        <v>2</v>
      </c>
      <c r="BE243" s="81"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6" t="s">
        <v>305</v>
      </c>
      <c r="B244" s="66" t="s">
        <v>305</v>
      </c>
      <c r="C244" s="67" t="s">
        <v>2140</v>
      </c>
      <c r="D244" s="68">
        <v>3</v>
      </c>
      <c r="E244" s="69" t="s">
        <v>136</v>
      </c>
      <c r="F244" s="70">
        <v>6</v>
      </c>
      <c r="G244" s="67"/>
      <c r="H244" s="71"/>
      <c r="I244" s="72"/>
      <c r="J244" s="72"/>
      <c r="K244" s="35" t="s">
        <v>65</v>
      </c>
      <c r="L244" s="80">
        <v>244</v>
      </c>
      <c r="M244" s="80"/>
      <c r="N244" s="74"/>
      <c r="O244" s="82" t="s">
        <v>211</v>
      </c>
      <c r="P244" s="84">
        <v>44730.730266203704</v>
      </c>
      <c r="Q244" s="82" t="s">
        <v>502</v>
      </c>
      <c r="R244" s="82"/>
      <c r="S244" s="82"/>
      <c r="T244" s="82"/>
      <c r="U244" s="82"/>
      <c r="V244" s="85" t="str">
        <f>HYPERLINK("https://pbs.twimg.com/profile_images/825717962481029123/h6cXfTnb_normal.jpg")</f>
        <v>https://pbs.twimg.com/profile_images/825717962481029123/h6cXfTnb_normal.jpg</v>
      </c>
      <c r="W244" s="84">
        <v>44730.730266203704</v>
      </c>
      <c r="X244" s="89">
        <v>44730</v>
      </c>
      <c r="Y244" s="87" t="s">
        <v>716</v>
      </c>
      <c r="Z244" s="85" t="str">
        <f>HYPERLINK("https://twitter.com/chombotofficial/status/1538212844084289539")</f>
        <v>https://twitter.com/chombotofficial/status/1538212844084289539</v>
      </c>
      <c r="AA244" s="82"/>
      <c r="AB244" s="82"/>
      <c r="AC244" s="87" t="s">
        <v>921</v>
      </c>
      <c r="AD244" s="82"/>
      <c r="AE244" s="82" t="b">
        <v>0</v>
      </c>
      <c r="AF244" s="82">
        <v>0</v>
      </c>
      <c r="AG244" s="87" t="s">
        <v>957</v>
      </c>
      <c r="AH244" s="82" t="b">
        <v>0</v>
      </c>
      <c r="AI244" s="82" t="s">
        <v>973</v>
      </c>
      <c r="AJ244" s="82"/>
      <c r="AK244" s="87" t="s">
        <v>957</v>
      </c>
      <c r="AL244" s="82" t="b">
        <v>0</v>
      </c>
      <c r="AM244" s="82">
        <v>0</v>
      </c>
      <c r="AN244" s="87" t="s">
        <v>957</v>
      </c>
      <c r="AO244" s="87" t="s">
        <v>305</v>
      </c>
      <c r="AP244" s="82" t="b">
        <v>0</v>
      </c>
      <c r="AQ244" s="87" t="s">
        <v>921</v>
      </c>
      <c r="AR244" s="82" t="s">
        <v>211</v>
      </c>
      <c r="AS244" s="82">
        <v>0</v>
      </c>
      <c r="AT244" s="82">
        <v>0</v>
      </c>
      <c r="AU244" s="82"/>
      <c r="AV244" s="82"/>
      <c r="AW244" s="82"/>
      <c r="AX244" s="82"/>
      <c r="AY244" s="82"/>
      <c r="AZ244" s="82"/>
      <c r="BA244" s="82"/>
      <c r="BB244" s="82"/>
      <c r="BC244">
        <v>142</v>
      </c>
      <c r="BD244" s="81" t="str">
        <f>REPLACE(INDEX(GroupVertices[Group],MATCH(Edges[[#This Row],[Vertex 1]],GroupVertices[Vertex],0)),1,1,"")</f>
        <v>2</v>
      </c>
      <c r="BE244" s="81" t="str">
        <f>REPLACE(INDEX(GroupVertices[Group],MATCH(Edges[[#This Row],[Vertex 2]],GroupVertices[Vertex],0)),1,1,"")</f>
        <v>2</v>
      </c>
      <c r="BF244" s="49">
        <v>1</v>
      </c>
      <c r="BG244" s="50">
        <v>4.545454545454546</v>
      </c>
      <c r="BH244" s="49">
        <v>2</v>
      </c>
      <c r="BI244" s="50">
        <v>9.090909090909092</v>
      </c>
      <c r="BJ244" s="49">
        <v>0</v>
      </c>
      <c r="BK244" s="50">
        <v>0</v>
      </c>
      <c r="BL244" s="49">
        <v>19</v>
      </c>
      <c r="BM244" s="50">
        <v>86.36363636363636</v>
      </c>
      <c r="BN244" s="49">
        <v>22</v>
      </c>
    </row>
    <row r="245" spans="1:66" ht="15">
      <c r="A245" s="66" t="s">
        <v>305</v>
      </c>
      <c r="B245" s="66" t="s">
        <v>305</v>
      </c>
      <c r="C245" s="67" t="s">
        <v>2140</v>
      </c>
      <c r="D245" s="68">
        <v>3</v>
      </c>
      <c r="E245" s="69" t="s">
        <v>136</v>
      </c>
      <c r="F245" s="70">
        <v>6</v>
      </c>
      <c r="G245" s="67"/>
      <c r="H245" s="71"/>
      <c r="I245" s="72"/>
      <c r="J245" s="72"/>
      <c r="K245" s="35" t="s">
        <v>65</v>
      </c>
      <c r="L245" s="80">
        <v>245</v>
      </c>
      <c r="M245" s="80"/>
      <c r="N245" s="74"/>
      <c r="O245" s="82" t="s">
        <v>211</v>
      </c>
      <c r="P245" s="84">
        <v>44730.7719212963</v>
      </c>
      <c r="Q245" s="82" t="s">
        <v>503</v>
      </c>
      <c r="R245" s="82"/>
      <c r="S245" s="82"/>
      <c r="T245" s="82"/>
      <c r="U245" s="82"/>
      <c r="V245" s="85" t="str">
        <f>HYPERLINK("https://pbs.twimg.com/profile_images/825717962481029123/h6cXfTnb_normal.jpg")</f>
        <v>https://pbs.twimg.com/profile_images/825717962481029123/h6cXfTnb_normal.jpg</v>
      </c>
      <c r="W245" s="84">
        <v>44730.7719212963</v>
      </c>
      <c r="X245" s="89">
        <v>44730</v>
      </c>
      <c r="Y245" s="87" t="s">
        <v>717</v>
      </c>
      <c r="Z245" s="85" t="str">
        <f>HYPERLINK("https://twitter.com/chombotofficial/status/1538227941787766788")</f>
        <v>https://twitter.com/chombotofficial/status/1538227941787766788</v>
      </c>
      <c r="AA245" s="82"/>
      <c r="AB245" s="82"/>
      <c r="AC245" s="87" t="s">
        <v>922</v>
      </c>
      <c r="AD245" s="82"/>
      <c r="AE245" s="82" t="b">
        <v>0</v>
      </c>
      <c r="AF245" s="82">
        <v>0</v>
      </c>
      <c r="AG245" s="87" t="s">
        <v>957</v>
      </c>
      <c r="AH245" s="82" t="b">
        <v>0</v>
      </c>
      <c r="AI245" s="82" t="s">
        <v>973</v>
      </c>
      <c r="AJ245" s="82"/>
      <c r="AK245" s="87" t="s">
        <v>957</v>
      </c>
      <c r="AL245" s="82" t="b">
        <v>0</v>
      </c>
      <c r="AM245" s="82">
        <v>0</v>
      </c>
      <c r="AN245" s="87" t="s">
        <v>957</v>
      </c>
      <c r="AO245" s="87" t="s">
        <v>305</v>
      </c>
      <c r="AP245" s="82" t="b">
        <v>0</v>
      </c>
      <c r="AQ245" s="87" t="s">
        <v>922</v>
      </c>
      <c r="AR245" s="82" t="s">
        <v>211</v>
      </c>
      <c r="AS245" s="82">
        <v>0</v>
      </c>
      <c r="AT245" s="82">
        <v>0</v>
      </c>
      <c r="AU245" s="82"/>
      <c r="AV245" s="82"/>
      <c r="AW245" s="82"/>
      <c r="AX245" s="82"/>
      <c r="AY245" s="82"/>
      <c r="AZ245" s="82"/>
      <c r="BA245" s="82"/>
      <c r="BB245" s="82"/>
      <c r="BC245">
        <v>142</v>
      </c>
      <c r="BD245" s="81" t="str">
        <f>REPLACE(INDEX(GroupVertices[Group],MATCH(Edges[[#This Row],[Vertex 1]],GroupVertices[Vertex],0)),1,1,"")</f>
        <v>2</v>
      </c>
      <c r="BE245" s="81" t="str">
        <f>REPLACE(INDEX(GroupVertices[Group],MATCH(Edges[[#This Row],[Vertex 2]],GroupVertices[Vertex],0)),1,1,"")</f>
        <v>2</v>
      </c>
      <c r="BF245" s="49">
        <v>1</v>
      </c>
      <c r="BG245" s="50">
        <v>4</v>
      </c>
      <c r="BH245" s="49">
        <v>0</v>
      </c>
      <c r="BI245" s="50">
        <v>0</v>
      </c>
      <c r="BJ245" s="49">
        <v>0</v>
      </c>
      <c r="BK245" s="50">
        <v>0</v>
      </c>
      <c r="BL245" s="49">
        <v>24</v>
      </c>
      <c r="BM245" s="50">
        <v>96</v>
      </c>
      <c r="BN245" s="49">
        <v>25</v>
      </c>
    </row>
    <row r="246" spans="1:66" ht="15">
      <c r="A246" s="66" t="s">
        <v>305</v>
      </c>
      <c r="B246" s="66" t="s">
        <v>305</v>
      </c>
      <c r="C246" s="67" t="s">
        <v>2140</v>
      </c>
      <c r="D246" s="68">
        <v>3</v>
      </c>
      <c r="E246" s="69" t="s">
        <v>136</v>
      </c>
      <c r="F246" s="70">
        <v>6</v>
      </c>
      <c r="G246" s="67"/>
      <c r="H246" s="71"/>
      <c r="I246" s="72"/>
      <c r="J246" s="72"/>
      <c r="K246" s="35" t="s">
        <v>65</v>
      </c>
      <c r="L246" s="80">
        <v>246</v>
      </c>
      <c r="M246" s="80"/>
      <c r="N246" s="74"/>
      <c r="O246" s="82" t="s">
        <v>211</v>
      </c>
      <c r="P246" s="84">
        <v>44730.8031712963</v>
      </c>
      <c r="Q246" s="82" t="s">
        <v>504</v>
      </c>
      <c r="R246" s="82"/>
      <c r="S246" s="82"/>
      <c r="T246" s="82"/>
      <c r="U246" s="82"/>
      <c r="V246" s="85" t="str">
        <f>HYPERLINK("https://pbs.twimg.com/profile_images/825717962481029123/h6cXfTnb_normal.jpg")</f>
        <v>https://pbs.twimg.com/profile_images/825717962481029123/h6cXfTnb_normal.jpg</v>
      </c>
      <c r="W246" s="84">
        <v>44730.8031712963</v>
      </c>
      <c r="X246" s="89">
        <v>44730</v>
      </c>
      <c r="Y246" s="87" t="s">
        <v>718</v>
      </c>
      <c r="Z246" s="85" t="str">
        <f>HYPERLINK("https://twitter.com/chombotofficial/status/1538239266425384962")</f>
        <v>https://twitter.com/chombotofficial/status/1538239266425384962</v>
      </c>
      <c r="AA246" s="82"/>
      <c r="AB246" s="82"/>
      <c r="AC246" s="87" t="s">
        <v>923</v>
      </c>
      <c r="AD246" s="82"/>
      <c r="AE246" s="82" t="b">
        <v>0</v>
      </c>
      <c r="AF246" s="82">
        <v>0</v>
      </c>
      <c r="AG246" s="87" t="s">
        <v>957</v>
      </c>
      <c r="AH246" s="82" t="b">
        <v>0</v>
      </c>
      <c r="AI246" s="82" t="s">
        <v>973</v>
      </c>
      <c r="AJ246" s="82"/>
      <c r="AK246" s="87" t="s">
        <v>957</v>
      </c>
      <c r="AL246" s="82" t="b">
        <v>0</v>
      </c>
      <c r="AM246" s="82">
        <v>0</v>
      </c>
      <c r="AN246" s="87" t="s">
        <v>957</v>
      </c>
      <c r="AO246" s="87" t="s">
        <v>305</v>
      </c>
      <c r="AP246" s="82" t="b">
        <v>0</v>
      </c>
      <c r="AQ246" s="87" t="s">
        <v>923</v>
      </c>
      <c r="AR246" s="82" t="s">
        <v>211</v>
      </c>
      <c r="AS246" s="82">
        <v>0</v>
      </c>
      <c r="AT246" s="82">
        <v>0</v>
      </c>
      <c r="AU246" s="82"/>
      <c r="AV246" s="82"/>
      <c r="AW246" s="82"/>
      <c r="AX246" s="82"/>
      <c r="AY246" s="82"/>
      <c r="AZ246" s="82"/>
      <c r="BA246" s="82"/>
      <c r="BB246" s="82"/>
      <c r="BC246">
        <v>142</v>
      </c>
      <c r="BD246" s="81" t="str">
        <f>REPLACE(INDEX(GroupVertices[Group],MATCH(Edges[[#This Row],[Vertex 1]],GroupVertices[Vertex],0)),1,1,"")</f>
        <v>2</v>
      </c>
      <c r="BE246" s="81" t="str">
        <f>REPLACE(INDEX(GroupVertices[Group],MATCH(Edges[[#This Row],[Vertex 2]],GroupVertices[Vertex],0)),1,1,"")</f>
        <v>2</v>
      </c>
      <c r="BF246" s="49">
        <v>0</v>
      </c>
      <c r="BG246" s="50">
        <v>0</v>
      </c>
      <c r="BH246" s="49">
        <v>1</v>
      </c>
      <c r="BI246" s="50">
        <v>5.2631578947368425</v>
      </c>
      <c r="BJ246" s="49">
        <v>0</v>
      </c>
      <c r="BK246" s="50">
        <v>0</v>
      </c>
      <c r="BL246" s="49">
        <v>18</v>
      </c>
      <c r="BM246" s="50">
        <v>94.73684210526316</v>
      </c>
      <c r="BN246" s="49">
        <v>19</v>
      </c>
    </row>
    <row r="247" spans="1:66" ht="15">
      <c r="A247" s="66" t="s">
        <v>305</v>
      </c>
      <c r="B247" s="66" t="s">
        <v>305</v>
      </c>
      <c r="C247" s="67" t="s">
        <v>2140</v>
      </c>
      <c r="D247" s="68">
        <v>3</v>
      </c>
      <c r="E247" s="69" t="s">
        <v>136</v>
      </c>
      <c r="F247" s="70">
        <v>6</v>
      </c>
      <c r="G247" s="67"/>
      <c r="H247" s="71"/>
      <c r="I247" s="72"/>
      <c r="J247" s="72"/>
      <c r="K247" s="35" t="s">
        <v>65</v>
      </c>
      <c r="L247" s="80">
        <v>247</v>
      </c>
      <c r="M247" s="80"/>
      <c r="N247" s="74"/>
      <c r="O247" s="82" t="s">
        <v>211</v>
      </c>
      <c r="P247" s="84">
        <v>44730.81358796296</v>
      </c>
      <c r="Q247" s="82" t="s">
        <v>505</v>
      </c>
      <c r="R247" s="82"/>
      <c r="S247" s="82"/>
      <c r="T247" s="82"/>
      <c r="U247" s="82"/>
      <c r="V247" s="85" t="str">
        <f>HYPERLINK("https://pbs.twimg.com/profile_images/825717962481029123/h6cXfTnb_normal.jpg")</f>
        <v>https://pbs.twimg.com/profile_images/825717962481029123/h6cXfTnb_normal.jpg</v>
      </c>
      <c r="W247" s="84">
        <v>44730.81358796296</v>
      </c>
      <c r="X247" s="89">
        <v>44730</v>
      </c>
      <c r="Y247" s="87" t="s">
        <v>719</v>
      </c>
      <c r="Z247" s="85" t="str">
        <f>HYPERLINK("https://twitter.com/chombotofficial/status/1538243041005273088")</f>
        <v>https://twitter.com/chombotofficial/status/1538243041005273088</v>
      </c>
      <c r="AA247" s="82"/>
      <c r="AB247" s="82"/>
      <c r="AC247" s="87" t="s">
        <v>924</v>
      </c>
      <c r="AD247" s="82"/>
      <c r="AE247" s="82" t="b">
        <v>0</v>
      </c>
      <c r="AF247" s="82">
        <v>0</v>
      </c>
      <c r="AG247" s="87" t="s">
        <v>957</v>
      </c>
      <c r="AH247" s="82" t="b">
        <v>0</v>
      </c>
      <c r="AI247" s="82" t="s">
        <v>973</v>
      </c>
      <c r="AJ247" s="82"/>
      <c r="AK247" s="87" t="s">
        <v>957</v>
      </c>
      <c r="AL247" s="82" t="b">
        <v>0</v>
      </c>
      <c r="AM247" s="82">
        <v>0</v>
      </c>
      <c r="AN247" s="87" t="s">
        <v>957</v>
      </c>
      <c r="AO247" s="87" t="s">
        <v>305</v>
      </c>
      <c r="AP247" s="82" t="b">
        <v>0</v>
      </c>
      <c r="AQ247" s="87" t="s">
        <v>924</v>
      </c>
      <c r="AR247" s="82" t="s">
        <v>211</v>
      </c>
      <c r="AS247" s="82">
        <v>0</v>
      </c>
      <c r="AT247" s="82">
        <v>0</v>
      </c>
      <c r="AU247" s="82"/>
      <c r="AV247" s="82"/>
      <c r="AW247" s="82"/>
      <c r="AX247" s="82"/>
      <c r="AY247" s="82"/>
      <c r="AZ247" s="82"/>
      <c r="BA247" s="82"/>
      <c r="BB247" s="82"/>
      <c r="BC247">
        <v>142</v>
      </c>
      <c r="BD247" s="81" t="str">
        <f>REPLACE(INDEX(GroupVertices[Group],MATCH(Edges[[#This Row],[Vertex 1]],GroupVertices[Vertex],0)),1,1,"")</f>
        <v>2</v>
      </c>
      <c r="BE247" s="81" t="str">
        <f>REPLACE(INDEX(GroupVertices[Group],MATCH(Edges[[#This Row],[Vertex 2]],GroupVertices[Vertex],0)),1,1,"")</f>
        <v>2</v>
      </c>
      <c r="BF247" s="49">
        <v>0</v>
      </c>
      <c r="BG247" s="50">
        <v>0</v>
      </c>
      <c r="BH247" s="49">
        <v>0</v>
      </c>
      <c r="BI247" s="50">
        <v>0</v>
      </c>
      <c r="BJ247" s="49">
        <v>0</v>
      </c>
      <c r="BK247" s="50">
        <v>0</v>
      </c>
      <c r="BL247" s="49">
        <v>22</v>
      </c>
      <c r="BM247" s="50">
        <v>100</v>
      </c>
      <c r="BN247" s="49">
        <v>22</v>
      </c>
    </row>
    <row r="248" spans="1:66" ht="15">
      <c r="A248" s="66" t="s">
        <v>305</v>
      </c>
      <c r="B248" s="66" t="s">
        <v>305</v>
      </c>
      <c r="C248" s="67" t="s">
        <v>2140</v>
      </c>
      <c r="D248" s="68">
        <v>3</v>
      </c>
      <c r="E248" s="69" t="s">
        <v>136</v>
      </c>
      <c r="F248" s="70">
        <v>6</v>
      </c>
      <c r="G248" s="67"/>
      <c r="H248" s="71"/>
      <c r="I248" s="72"/>
      <c r="J248" s="72"/>
      <c r="K248" s="35" t="s">
        <v>65</v>
      </c>
      <c r="L248" s="80">
        <v>248</v>
      </c>
      <c r="M248" s="80"/>
      <c r="N248" s="74"/>
      <c r="O248" s="82" t="s">
        <v>211</v>
      </c>
      <c r="P248" s="84">
        <v>44730.85873842592</v>
      </c>
      <c r="Q248" s="82" t="s">
        <v>506</v>
      </c>
      <c r="R248" s="82"/>
      <c r="S248" s="82"/>
      <c r="T248" s="82"/>
      <c r="U248" s="82"/>
      <c r="V248" s="85" t="str">
        <f>HYPERLINK("https://pbs.twimg.com/profile_images/825717962481029123/h6cXfTnb_normal.jpg")</f>
        <v>https://pbs.twimg.com/profile_images/825717962481029123/h6cXfTnb_normal.jpg</v>
      </c>
      <c r="W248" s="84">
        <v>44730.85873842592</v>
      </c>
      <c r="X248" s="89">
        <v>44730</v>
      </c>
      <c r="Y248" s="87" t="s">
        <v>720</v>
      </c>
      <c r="Z248" s="85" t="str">
        <f>HYPERLINK("https://twitter.com/chombotofficial/status/1538259399764021248")</f>
        <v>https://twitter.com/chombotofficial/status/1538259399764021248</v>
      </c>
      <c r="AA248" s="82"/>
      <c r="AB248" s="82"/>
      <c r="AC248" s="87" t="s">
        <v>925</v>
      </c>
      <c r="AD248" s="82"/>
      <c r="AE248" s="82" t="b">
        <v>0</v>
      </c>
      <c r="AF248" s="82">
        <v>0</v>
      </c>
      <c r="AG248" s="87" t="s">
        <v>957</v>
      </c>
      <c r="AH248" s="82" t="b">
        <v>0</v>
      </c>
      <c r="AI248" s="82" t="s">
        <v>973</v>
      </c>
      <c r="AJ248" s="82"/>
      <c r="AK248" s="87" t="s">
        <v>957</v>
      </c>
      <c r="AL248" s="82" t="b">
        <v>0</v>
      </c>
      <c r="AM248" s="82">
        <v>0</v>
      </c>
      <c r="AN248" s="87" t="s">
        <v>957</v>
      </c>
      <c r="AO248" s="87" t="s">
        <v>305</v>
      </c>
      <c r="AP248" s="82" t="b">
        <v>0</v>
      </c>
      <c r="AQ248" s="87" t="s">
        <v>925</v>
      </c>
      <c r="AR248" s="82" t="s">
        <v>211</v>
      </c>
      <c r="AS248" s="82">
        <v>0</v>
      </c>
      <c r="AT248" s="82">
        <v>0</v>
      </c>
      <c r="AU248" s="82"/>
      <c r="AV248" s="82"/>
      <c r="AW248" s="82"/>
      <c r="AX248" s="82"/>
      <c r="AY248" s="82"/>
      <c r="AZ248" s="82"/>
      <c r="BA248" s="82"/>
      <c r="BB248" s="82"/>
      <c r="BC248">
        <v>142</v>
      </c>
      <c r="BD248" s="81" t="str">
        <f>REPLACE(INDEX(GroupVertices[Group],MATCH(Edges[[#This Row],[Vertex 1]],GroupVertices[Vertex],0)),1,1,"")</f>
        <v>2</v>
      </c>
      <c r="BE248" s="81" t="str">
        <f>REPLACE(INDEX(GroupVertices[Group],MATCH(Edges[[#This Row],[Vertex 2]],GroupVertices[Vertex],0)),1,1,"")</f>
        <v>2</v>
      </c>
      <c r="BF248" s="49">
        <v>0</v>
      </c>
      <c r="BG248" s="50">
        <v>0</v>
      </c>
      <c r="BH248" s="49">
        <v>0</v>
      </c>
      <c r="BI248" s="50">
        <v>0</v>
      </c>
      <c r="BJ248" s="49">
        <v>0</v>
      </c>
      <c r="BK248" s="50">
        <v>0</v>
      </c>
      <c r="BL248" s="49">
        <v>19</v>
      </c>
      <c r="BM248" s="50">
        <v>100</v>
      </c>
      <c r="BN248" s="49">
        <v>19</v>
      </c>
    </row>
    <row r="249" spans="1:66" ht="15">
      <c r="A249" s="66" t="s">
        <v>305</v>
      </c>
      <c r="B249" s="66" t="s">
        <v>305</v>
      </c>
      <c r="C249" s="67" t="s">
        <v>2140</v>
      </c>
      <c r="D249" s="68">
        <v>3</v>
      </c>
      <c r="E249" s="69" t="s">
        <v>136</v>
      </c>
      <c r="F249" s="70">
        <v>6</v>
      </c>
      <c r="G249" s="67"/>
      <c r="H249" s="71"/>
      <c r="I249" s="72"/>
      <c r="J249" s="72"/>
      <c r="K249" s="35" t="s">
        <v>65</v>
      </c>
      <c r="L249" s="80">
        <v>249</v>
      </c>
      <c r="M249" s="80"/>
      <c r="N249" s="74"/>
      <c r="O249" s="82" t="s">
        <v>211</v>
      </c>
      <c r="P249" s="84">
        <v>44730.92818287037</v>
      </c>
      <c r="Q249" s="82" t="s">
        <v>507</v>
      </c>
      <c r="R249" s="82"/>
      <c r="S249" s="82"/>
      <c r="T249" s="82"/>
      <c r="U249" s="82"/>
      <c r="V249" s="85" t="str">
        <f>HYPERLINK("https://pbs.twimg.com/profile_images/825717962481029123/h6cXfTnb_normal.jpg")</f>
        <v>https://pbs.twimg.com/profile_images/825717962481029123/h6cXfTnb_normal.jpg</v>
      </c>
      <c r="W249" s="84">
        <v>44730.92818287037</v>
      </c>
      <c r="X249" s="89">
        <v>44730</v>
      </c>
      <c r="Y249" s="87" t="s">
        <v>721</v>
      </c>
      <c r="Z249" s="85" t="str">
        <f>HYPERLINK("https://twitter.com/chombotofficial/status/1538284566028472321")</f>
        <v>https://twitter.com/chombotofficial/status/1538284566028472321</v>
      </c>
      <c r="AA249" s="82"/>
      <c r="AB249" s="82"/>
      <c r="AC249" s="87" t="s">
        <v>926</v>
      </c>
      <c r="AD249" s="82"/>
      <c r="AE249" s="82" t="b">
        <v>0</v>
      </c>
      <c r="AF249" s="82">
        <v>0</v>
      </c>
      <c r="AG249" s="87" t="s">
        <v>957</v>
      </c>
      <c r="AH249" s="82" t="b">
        <v>0</v>
      </c>
      <c r="AI249" s="82" t="s">
        <v>973</v>
      </c>
      <c r="AJ249" s="82"/>
      <c r="AK249" s="87" t="s">
        <v>957</v>
      </c>
      <c r="AL249" s="82" t="b">
        <v>0</v>
      </c>
      <c r="AM249" s="82">
        <v>0</v>
      </c>
      <c r="AN249" s="87" t="s">
        <v>957</v>
      </c>
      <c r="AO249" s="87" t="s">
        <v>305</v>
      </c>
      <c r="AP249" s="82" t="b">
        <v>0</v>
      </c>
      <c r="AQ249" s="87" t="s">
        <v>926</v>
      </c>
      <c r="AR249" s="82" t="s">
        <v>211</v>
      </c>
      <c r="AS249" s="82">
        <v>0</v>
      </c>
      <c r="AT249" s="82">
        <v>0</v>
      </c>
      <c r="AU249" s="82"/>
      <c r="AV249" s="82"/>
      <c r="AW249" s="82"/>
      <c r="AX249" s="82"/>
      <c r="AY249" s="82"/>
      <c r="AZ249" s="82"/>
      <c r="BA249" s="82"/>
      <c r="BB249" s="82"/>
      <c r="BC249">
        <v>142</v>
      </c>
      <c r="BD249" s="81" t="str">
        <f>REPLACE(INDEX(GroupVertices[Group],MATCH(Edges[[#This Row],[Vertex 1]],GroupVertices[Vertex],0)),1,1,"")</f>
        <v>2</v>
      </c>
      <c r="BE249" s="81" t="str">
        <f>REPLACE(INDEX(GroupVertices[Group],MATCH(Edges[[#This Row],[Vertex 2]],GroupVertices[Vertex],0)),1,1,"")</f>
        <v>2</v>
      </c>
      <c r="BF249" s="49">
        <v>2</v>
      </c>
      <c r="BG249" s="50">
        <v>10.526315789473685</v>
      </c>
      <c r="BH249" s="49">
        <v>0</v>
      </c>
      <c r="BI249" s="50">
        <v>0</v>
      </c>
      <c r="BJ249" s="49">
        <v>0</v>
      </c>
      <c r="BK249" s="50">
        <v>0</v>
      </c>
      <c r="BL249" s="49">
        <v>17</v>
      </c>
      <c r="BM249" s="50">
        <v>89.47368421052632</v>
      </c>
      <c r="BN249" s="49">
        <v>19</v>
      </c>
    </row>
    <row r="250" spans="1:66" ht="15">
      <c r="A250" s="66" t="s">
        <v>305</v>
      </c>
      <c r="B250" s="66" t="s">
        <v>305</v>
      </c>
      <c r="C250" s="67" t="s">
        <v>2140</v>
      </c>
      <c r="D250" s="68">
        <v>3</v>
      </c>
      <c r="E250" s="69" t="s">
        <v>136</v>
      </c>
      <c r="F250" s="70">
        <v>6</v>
      </c>
      <c r="G250" s="67"/>
      <c r="H250" s="71"/>
      <c r="I250" s="72"/>
      <c r="J250" s="72"/>
      <c r="K250" s="35" t="s">
        <v>65</v>
      </c>
      <c r="L250" s="80">
        <v>250</v>
      </c>
      <c r="M250" s="80"/>
      <c r="N250" s="74"/>
      <c r="O250" s="82" t="s">
        <v>211</v>
      </c>
      <c r="P250" s="84">
        <v>44730.931655092594</v>
      </c>
      <c r="Q250" s="82" t="s">
        <v>508</v>
      </c>
      <c r="R250" s="82"/>
      <c r="S250" s="82"/>
      <c r="T250" s="82"/>
      <c r="U250" s="82"/>
      <c r="V250" s="85" t="str">
        <f>HYPERLINK("https://pbs.twimg.com/profile_images/825717962481029123/h6cXfTnb_normal.jpg")</f>
        <v>https://pbs.twimg.com/profile_images/825717962481029123/h6cXfTnb_normal.jpg</v>
      </c>
      <c r="W250" s="84">
        <v>44730.931655092594</v>
      </c>
      <c r="X250" s="89">
        <v>44730</v>
      </c>
      <c r="Y250" s="87" t="s">
        <v>722</v>
      </c>
      <c r="Z250" s="85" t="str">
        <f>HYPERLINK("https://twitter.com/chombotofficial/status/1538285824139223042")</f>
        <v>https://twitter.com/chombotofficial/status/1538285824139223042</v>
      </c>
      <c r="AA250" s="82"/>
      <c r="AB250" s="82"/>
      <c r="AC250" s="87" t="s">
        <v>927</v>
      </c>
      <c r="AD250" s="82"/>
      <c r="AE250" s="82" t="b">
        <v>0</v>
      </c>
      <c r="AF250" s="82">
        <v>0</v>
      </c>
      <c r="AG250" s="87" t="s">
        <v>957</v>
      </c>
      <c r="AH250" s="82" t="b">
        <v>0</v>
      </c>
      <c r="AI250" s="82" t="s">
        <v>973</v>
      </c>
      <c r="AJ250" s="82"/>
      <c r="AK250" s="87" t="s">
        <v>957</v>
      </c>
      <c r="AL250" s="82" t="b">
        <v>0</v>
      </c>
      <c r="AM250" s="82">
        <v>0</v>
      </c>
      <c r="AN250" s="87" t="s">
        <v>957</v>
      </c>
      <c r="AO250" s="87" t="s">
        <v>305</v>
      </c>
      <c r="AP250" s="82" t="b">
        <v>0</v>
      </c>
      <c r="AQ250" s="87" t="s">
        <v>927</v>
      </c>
      <c r="AR250" s="82" t="s">
        <v>211</v>
      </c>
      <c r="AS250" s="82">
        <v>0</v>
      </c>
      <c r="AT250" s="82">
        <v>0</v>
      </c>
      <c r="AU250" s="82"/>
      <c r="AV250" s="82"/>
      <c r="AW250" s="82"/>
      <c r="AX250" s="82"/>
      <c r="AY250" s="82"/>
      <c r="AZ250" s="82"/>
      <c r="BA250" s="82"/>
      <c r="BB250" s="82"/>
      <c r="BC250">
        <v>142</v>
      </c>
      <c r="BD250" s="81" t="str">
        <f>REPLACE(INDEX(GroupVertices[Group],MATCH(Edges[[#This Row],[Vertex 1]],GroupVertices[Vertex],0)),1,1,"")</f>
        <v>2</v>
      </c>
      <c r="BE250" s="81" t="str">
        <f>REPLACE(INDEX(GroupVertices[Group],MATCH(Edges[[#This Row],[Vertex 2]],GroupVertices[Vertex],0)),1,1,"")</f>
        <v>2</v>
      </c>
      <c r="BF250" s="49">
        <v>0</v>
      </c>
      <c r="BG250" s="50">
        <v>0</v>
      </c>
      <c r="BH250" s="49">
        <v>1</v>
      </c>
      <c r="BI250" s="50">
        <v>5</v>
      </c>
      <c r="BJ250" s="49">
        <v>0</v>
      </c>
      <c r="BK250" s="50">
        <v>0</v>
      </c>
      <c r="BL250" s="49">
        <v>19</v>
      </c>
      <c r="BM250" s="50">
        <v>95</v>
      </c>
      <c r="BN250" s="49">
        <v>20</v>
      </c>
    </row>
    <row r="251" spans="1:66" ht="15">
      <c r="A251" s="66" t="s">
        <v>305</v>
      </c>
      <c r="B251" s="66" t="s">
        <v>305</v>
      </c>
      <c r="C251" s="67" t="s">
        <v>2140</v>
      </c>
      <c r="D251" s="68">
        <v>3</v>
      </c>
      <c r="E251" s="69" t="s">
        <v>136</v>
      </c>
      <c r="F251" s="70">
        <v>6</v>
      </c>
      <c r="G251" s="67"/>
      <c r="H251" s="71"/>
      <c r="I251" s="72"/>
      <c r="J251" s="72"/>
      <c r="K251" s="35" t="s">
        <v>65</v>
      </c>
      <c r="L251" s="80">
        <v>251</v>
      </c>
      <c r="M251" s="80"/>
      <c r="N251" s="74"/>
      <c r="O251" s="82" t="s">
        <v>211</v>
      </c>
      <c r="P251" s="84">
        <v>44731.01497685185</v>
      </c>
      <c r="Q251" s="82" t="s">
        <v>509</v>
      </c>
      <c r="R251" s="82"/>
      <c r="S251" s="82"/>
      <c r="T251" s="82"/>
      <c r="U251" s="82"/>
      <c r="V251" s="85" t="str">
        <f>HYPERLINK("https://pbs.twimg.com/profile_images/825717962481029123/h6cXfTnb_normal.jpg")</f>
        <v>https://pbs.twimg.com/profile_images/825717962481029123/h6cXfTnb_normal.jpg</v>
      </c>
      <c r="W251" s="84">
        <v>44731.01497685185</v>
      </c>
      <c r="X251" s="89">
        <v>44731</v>
      </c>
      <c r="Y251" s="87" t="s">
        <v>723</v>
      </c>
      <c r="Z251" s="85" t="str">
        <f>HYPERLINK("https://twitter.com/chombotofficial/status/1538316021978767361")</f>
        <v>https://twitter.com/chombotofficial/status/1538316021978767361</v>
      </c>
      <c r="AA251" s="82"/>
      <c r="AB251" s="82"/>
      <c r="AC251" s="87" t="s">
        <v>928</v>
      </c>
      <c r="AD251" s="82"/>
      <c r="AE251" s="82" t="b">
        <v>0</v>
      </c>
      <c r="AF251" s="82">
        <v>0</v>
      </c>
      <c r="AG251" s="87" t="s">
        <v>957</v>
      </c>
      <c r="AH251" s="82" t="b">
        <v>0</v>
      </c>
      <c r="AI251" s="82" t="s">
        <v>973</v>
      </c>
      <c r="AJ251" s="82"/>
      <c r="AK251" s="87" t="s">
        <v>957</v>
      </c>
      <c r="AL251" s="82" t="b">
        <v>0</v>
      </c>
      <c r="AM251" s="82">
        <v>0</v>
      </c>
      <c r="AN251" s="87" t="s">
        <v>957</v>
      </c>
      <c r="AO251" s="87" t="s">
        <v>305</v>
      </c>
      <c r="AP251" s="82" t="b">
        <v>0</v>
      </c>
      <c r="AQ251" s="87" t="s">
        <v>928</v>
      </c>
      <c r="AR251" s="82" t="s">
        <v>211</v>
      </c>
      <c r="AS251" s="82">
        <v>0</v>
      </c>
      <c r="AT251" s="82">
        <v>0</v>
      </c>
      <c r="AU251" s="82"/>
      <c r="AV251" s="82"/>
      <c r="AW251" s="82"/>
      <c r="AX251" s="82"/>
      <c r="AY251" s="82"/>
      <c r="AZ251" s="82"/>
      <c r="BA251" s="82"/>
      <c r="BB251" s="82"/>
      <c r="BC251">
        <v>142</v>
      </c>
      <c r="BD251" s="81" t="str">
        <f>REPLACE(INDEX(GroupVertices[Group],MATCH(Edges[[#This Row],[Vertex 1]],GroupVertices[Vertex],0)),1,1,"")</f>
        <v>2</v>
      </c>
      <c r="BE251" s="81" t="str">
        <f>REPLACE(INDEX(GroupVertices[Group],MATCH(Edges[[#This Row],[Vertex 2]],GroupVertices[Vertex],0)),1,1,"")</f>
        <v>2</v>
      </c>
      <c r="BF251" s="49">
        <v>0</v>
      </c>
      <c r="BG251" s="50">
        <v>0</v>
      </c>
      <c r="BH251" s="49">
        <v>3</v>
      </c>
      <c r="BI251" s="50">
        <v>14.285714285714286</v>
      </c>
      <c r="BJ251" s="49">
        <v>0</v>
      </c>
      <c r="BK251" s="50">
        <v>0</v>
      </c>
      <c r="BL251" s="49">
        <v>18</v>
      </c>
      <c r="BM251" s="50">
        <v>85.71428571428571</v>
      </c>
      <c r="BN251" s="49">
        <v>21</v>
      </c>
    </row>
    <row r="252" spans="1:66" ht="15">
      <c r="A252" s="66" t="s">
        <v>305</v>
      </c>
      <c r="B252" s="66" t="s">
        <v>305</v>
      </c>
      <c r="C252" s="67" t="s">
        <v>2140</v>
      </c>
      <c r="D252" s="68">
        <v>3</v>
      </c>
      <c r="E252" s="69" t="s">
        <v>136</v>
      </c>
      <c r="F252" s="70">
        <v>6</v>
      </c>
      <c r="G252" s="67"/>
      <c r="H252" s="71"/>
      <c r="I252" s="72"/>
      <c r="J252" s="72"/>
      <c r="K252" s="35" t="s">
        <v>65</v>
      </c>
      <c r="L252" s="80">
        <v>252</v>
      </c>
      <c r="M252" s="80"/>
      <c r="N252" s="74"/>
      <c r="O252" s="82" t="s">
        <v>211</v>
      </c>
      <c r="P252" s="84">
        <v>44731.01497685185</v>
      </c>
      <c r="Q252" s="82" t="s">
        <v>509</v>
      </c>
      <c r="R252" s="82"/>
      <c r="S252" s="82"/>
      <c r="T252" s="82"/>
      <c r="U252" s="82"/>
      <c r="V252" s="85" t="str">
        <f>HYPERLINK("https://pbs.twimg.com/profile_images/825717962481029123/h6cXfTnb_normal.jpg")</f>
        <v>https://pbs.twimg.com/profile_images/825717962481029123/h6cXfTnb_normal.jpg</v>
      </c>
      <c r="W252" s="84">
        <v>44731.01497685185</v>
      </c>
      <c r="X252" s="89">
        <v>44731</v>
      </c>
      <c r="Y252" s="87" t="s">
        <v>723</v>
      </c>
      <c r="Z252" s="85" t="str">
        <f>HYPERLINK("https://twitter.com/chombotofficial/status/1538316022645952512")</f>
        <v>https://twitter.com/chombotofficial/status/1538316022645952512</v>
      </c>
      <c r="AA252" s="82"/>
      <c r="AB252" s="82"/>
      <c r="AC252" s="87" t="s">
        <v>929</v>
      </c>
      <c r="AD252" s="82"/>
      <c r="AE252" s="82" t="b">
        <v>0</v>
      </c>
      <c r="AF252" s="82">
        <v>0</v>
      </c>
      <c r="AG252" s="87" t="s">
        <v>957</v>
      </c>
      <c r="AH252" s="82" t="b">
        <v>0</v>
      </c>
      <c r="AI252" s="82" t="s">
        <v>973</v>
      </c>
      <c r="AJ252" s="82"/>
      <c r="AK252" s="87" t="s">
        <v>957</v>
      </c>
      <c r="AL252" s="82" t="b">
        <v>0</v>
      </c>
      <c r="AM252" s="82">
        <v>0</v>
      </c>
      <c r="AN252" s="87" t="s">
        <v>957</v>
      </c>
      <c r="AO252" s="87" t="s">
        <v>305</v>
      </c>
      <c r="AP252" s="82" t="b">
        <v>0</v>
      </c>
      <c r="AQ252" s="87" t="s">
        <v>929</v>
      </c>
      <c r="AR252" s="82" t="s">
        <v>211</v>
      </c>
      <c r="AS252" s="82">
        <v>0</v>
      </c>
      <c r="AT252" s="82">
        <v>0</v>
      </c>
      <c r="AU252" s="82"/>
      <c r="AV252" s="82"/>
      <c r="AW252" s="82"/>
      <c r="AX252" s="82"/>
      <c r="AY252" s="82"/>
      <c r="AZ252" s="82"/>
      <c r="BA252" s="82"/>
      <c r="BB252" s="82"/>
      <c r="BC252">
        <v>142</v>
      </c>
      <c r="BD252" s="81" t="str">
        <f>REPLACE(INDEX(GroupVertices[Group],MATCH(Edges[[#This Row],[Vertex 1]],GroupVertices[Vertex],0)),1,1,"")</f>
        <v>2</v>
      </c>
      <c r="BE252" s="81" t="str">
        <f>REPLACE(INDEX(GroupVertices[Group],MATCH(Edges[[#This Row],[Vertex 2]],GroupVertices[Vertex],0)),1,1,"")</f>
        <v>2</v>
      </c>
      <c r="BF252" s="49">
        <v>0</v>
      </c>
      <c r="BG252" s="50">
        <v>0</v>
      </c>
      <c r="BH252" s="49">
        <v>3</v>
      </c>
      <c r="BI252" s="50">
        <v>14.285714285714286</v>
      </c>
      <c r="BJ252" s="49">
        <v>0</v>
      </c>
      <c r="BK252" s="50">
        <v>0</v>
      </c>
      <c r="BL252" s="49">
        <v>18</v>
      </c>
      <c r="BM252" s="50">
        <v>85.71428571428571</v>
      </c>
      <c r="BN252" s="49">
        <v>21</v>
      </c>
    </row>
    <row r="253" spans="1:66" ht="15">
      <c r="A253" s="66" t="s">
        <v>305</v>
      </c>
      <c r="B253" s="66" t="s">
        <v>305</v>
      </c>
      <c r="C253" s="67" t="s">
        <v>2140</v>
      </c>
      <c r="D253" s="68">
        <v>3</v>
      </c>
      <c r="E253" s="69" t="s">
        <v>136</v>
      </c>
      <c r="F253" s="70">
        <v>6</v>
      </c>
      <c r="G253" s="67"/>
      <c r="H253" s="71"/>
      <c r="I253" s="72"/>
      <c r="J253" s="72"/>
      <c r="K253" s="35" t="s">
        <v>65</v>
      </c>
      <c r="L253" s="80">
        <v>253</v>
      </c>
      <c r="M253" s="80"/>
      <c r="N253" s="74"/>
      <c r="O253" s="82" t="s">
        <v>211</v>
      </c>
      <c r="P253" s="84">
        <v>44731.22332175926</v>
      </c>
      <c r="Q253" s="82" t="s">
        <v>510</v>
      </c>
      <c r="R253" s="82"/>
      <c r="S253" s="82"/>
      <c r="T253" s="82"/>
      <c r="U253" s="82"/>
      <c r="V253" s="85" t="str">
        <f>HYPERLINK("https://pbs.twimg.com/profile_images/825717962481029123/h6cXfTnb_normal.jpg")</f>
        <v>https://pbs.twimg.com/profile_images/825717962481029123/h6cXfTnb_normal.jpg</v>
      </c>
      <c r="W253" s="84">
        <v>44731.22332175926</v>
      </c>
      <c r="X253" s="89">
        <v>44731</v>
      </c>
      <c r="Y253" s="87" t="s">
        <v>724</v>
      </c>
      <c r="Z253" s="85" t="str">
        <f>HYPERLINK("https://twitter.com/chombotofficial/status/1538391520373624832")</f>
        <v>https://twitter.com/chombotofficial/status/1538391520373624832</v>
      </c>
      <c r="AA253" s="82"/>
      <c r="AB253" s="82"/>
      <c r="AC253" s="87" t="s">
        <v>930</v>
      </c>
      <c r="AD253" s="82"/>
      <c r="AE253" s="82" t="b">
        <v>0</v>
      </c>
      <c r="AF253" s="82">
        <v>0</v>
      </c>
      <c r="AG253" s="87" t="s">
        <v>957</v>
      </c>
      <c r="AH253" s="82" t="b">
        <v>0</v>
      </c>
      <c r="AI253" s="82" t="s">
        <v>973</v>
      </c>
      <c r="AJ253" s="82"/>
      <c r="AK253" s="87" t="s">
        <v>957</v>
      </c>
      <c r="AL253" s="82" t="b">
        <v>0</v>
      </c>
      <c r="AM253" s="82">
        <v>0</v>
      </c>
      <c r="AN253" s="87" t="s">
        <v>957</v>
      </c>
      <c r="AO253" s="87" t="s">
        <v>305</v>
      </c>
      <c r="AP253" s="82" t="b">
        <v>0</v>
      </c>
      <c r="AQ253" s="87" t="s">
        <v>930</v>
      </c>
      <c r="AR253" s="82" t="s">
        <v>211</v>
      </c>
      <c r="AS253" s="82">
        <v>0</v>
      </c>
      <c r="AT253" s="82">
        <v>0</v>
      </c>
      <c r="AU253" s="82"/>
      <c r="AV253" s="82"/>
      <c r="AW253" s="82"/>
      <c r="AX253" s="82"/>
      <c r="AY253" s="82"/>
      <c r="AZ253" s="82"/>
      <c r="BA253" s="82"/>
      <c r="BB253" s="82"/>
      <c r="BC253">
        <v>142</v>
      </c>
      <c r="BD253" s="81" t="str">
        <f>REPLACE(INDEX(GroupVertices[Group],MATCH(Edges[[#This Row],[Vertex 1]],GroupVertices[Vertex],0)),1,1,"")</f>
        <v>2</v>
      </c>
      <c r="BE253" s="81" t="str">
        <f>REPLACE(INDEX(GroupVertices[Group],MATCH(Edges[[#This Row],[Vertex 2]],GroupVertices[Vertex],0)),1,1,"")</f>
        <v>2</v>
      </c>
      <c r="BF253" s="49">
        <v>0</v>
      </c>
      <c r="BG253" s="50">
        <v>0</v>
      </c>
      <c r="BH253" s="49">
        <v>0</v>
      </c>
      <c r="BI253" s="50">
        <v>0</v>
      </c>
      <c r="BJ253" s="49">
        <v>0</v>
      </c>
      <c r="BK253" s="50">
        <v>0</v>
      </c>
      <c r="BL253" s="49">
        <v>23</v>
      </c>
      <c r="BM253" s="50">
        <v>100</v>
      </c>
      <c r="BN253" s="49">
        <v>23</v>
      </c>
    </row>
    <row r="254" spans="1:66" ht="15">
      <c r="A254" s="66" t="s">
        <v>305</v>
      </c>
      <c r="B254" s="66" t="s">
        <v>305</v>
      </c>
      <c r="C254" s="67" t="s">
        <v>2140</v>
      </c>
      <c r="D254" s="68">
        <v>3</v>
      </c>
      <c r="E254" s="69" t="s">
        <v>136</v>
      </c>
      <c r="F254" s="70">
        <v>6</v>
      </c>
      <c r="G254" s="67"/>
      <c r="H254" s="71"/>
      <c r="I254" s="72"/>
      <c r="J254" s="72"/>
      <c r="K254" s="35" t="s">
        <v>65</v>
      </c>
      <c r="L254" s="80">
        <v>254</v>
      </c>
      <c r="M254" s="80"/>
      <c r="N254" s="74"/>
      <c r="O254" s="82" t="s">
        <v>211</v>
      </c>
      <c r="P254" s="84">
        <v>44731.25457175926</v>
      </c>
      <c r="Q254" s="82" t="s">
        <v>511</v>
      </c>
      <c r="R254" s="82"/>
      <c r="S254" s="82"/>
      <c r="T254" s="82"/>
      <c r="U254" s="82"/>
      <c r="V254" s="85" t="str">
        <f>HYPERLINK("https://pbs.twimg.com/profile_images/825717962481029123/h6cXfTnb_normal.jpg")</f>
        <v>https://pbs.twimg.com/profile_images/825717962481029123/h6cXfTnb_normal.jpg</v>
      </c>
      <c r="W254" s="84">
        <v>44731.25457175926</v>
      </c>
      <c r="X254" s="89">
        <v>44731</v>
      </c>
      <c r="Y254" s="87" t="s">
        <v>725</v>
      </c>
      <c r="Z254" s="85" t="str">
        <f>HYPERLINK("https://twitter.com/chombotofficial/status/1538402844969250819")</f>
        <v>https://twitter.com/chombotofficial/status/1538402844969250819</v>
      </c>
      <c r="AA254" s="82"/>
      <c r="AB254" s="82"/>
      <c r="AC254" s="87" t="s">
        <v>931</v>
      </c>
      <c r="AD254" s="82"/>
      <c r="AE254" s="82" t="b">
        <v>0</v>
      </c>
      <c r="AF254" s="82">
        <v>0</v>
      </c>
      <c r="AG254" s="87" t="s">
        <v>957</v>
      </c>
      <c r="AH254" s="82" t="b">
        <v>0</v>
      </c>
      <c r="AI254" s="82" t="s">
        <v>973</v>
      </c>
      <c r="AJ254" s="82"/>
      <c r="AK254" s="87" t="s">
        <v>957</v>
      </c>
      <c r="AL254" s="82" t="b">
        <v>0</v>
      </c>
      <c r="AM254" s="82">
        <v>0</v>
      </c>
      <c r="AN254" s="87" t="s">
        <v>957</v>
      </c>
      <c r="AO254" s="87" t="s">
        <v>305</v>
      </c>
      <c r="AP254" s="82" t="b">
        <v>0</v>
      </c>
      <c r="AQ254" s="87" t="s">
        <v>931</v>
      </c>
      <c r="AR254" s="82" t="s">
        <v>211</v>
      </c>
      <c r="AS254" s="82">
        <v>0</v>
      </c>
      <c r="AT254" s="82">
        <v>0</v>
      </c>
      <c r="AU254" s="82"/>
      <c r="AV254" s="82"/>
      <c r="AW254" s="82"/>
      <c r="AX254" s="82"/>
      <c r="AY254" s="82"/>
      <c r="AZ254" s="82"/>
      <c r="BA254" s="82"/>
      <c r="BB254" s="82"/>
      <c r="BC254">
        <v>142</v>
      </c>
      <c r="BD254" s="81" t="str">
        <f>REPLACE(INDEX(GroupVertices[Group],MATCH(Edges[[#This Row],[Vertex 1]],GroupVertices[Vertex],0)),1,1,"")</f>
        <v>2</v>
      </c>
      <c r="BE254" s="81" t="str">
        <f>REPLACE(INDEX(GroupVertices[Group],MATCH(Edges[[#This Row],[Vertex 2]],GroupVertices[Vertex],0)),1,1,"")</f>
        <v>2</v>
      </c>
      <c r="BF254" s="49">
        <v>1</v>
      </c>
      <c r="BG254" s="50">
        <v>5.2631578947368425</v>
      </c>
      <c r="BH254" s="49">
        <v>0</v>
      </c>
      <c r="BI254" s="50">
        <v>0</v>
      </c>
      <c r="BJ254" s="49">
        <v>0</v>
      </c>
      <c r="BK254" s="50">
        <v>0</v>
      </c>
      <c r="BL254" s="49">
        <v>18</v>
      </c>
      <c r="BM254" s="50">
        <v>94.73684210526316</v>
      </c>
      <c r="BN254" s="49">
        <v>19</v>
      </c>
    </row>
    <row r="255" spans="1:66" ht="15">
      <c r="A255" s="66" t="s">
        <v>305</v>
      </c>
      <c r="B255" s="66" t="s">
        <v>305</v>
      </c>
      <c r="C255" s="67" t="s">
        <v>2140</v>
      </c>
      <c r="D255" s="68">
        <v>3</v>
      </c>
      <c r="E255" s="69" t="s">
        <v>136</v>
      </c>
      <c r="F255" s="70">
        <v>6</v>
      </c>
      <c r="G255" s="67"/>
      <c r="H255" s="71"/>
      <c r="I255" s="72"/>
      <c r="J255" s="72"/>
      <c r="K255" s="35" t="s">
        <v>65</v>
      </c>
      <c r="L255" s="80">
        <v>255</v>
      </c>
      <c r="M255" s="80"/>
      <c r="N255" s="74"/>
      <c r="O255" s="82" t="s">
        <v>211</v>
      </c>
      <c r="P255" s="84">
        <v>44731.39346064815</v>
      </c>
      <c r="Q255" s="82" t="s">
        <v>512</v>
      </c>
      <c r="R255" s="82"/>
      <c r="S255" s="82"/>
      <c r="T255" s="82"/>
      <c r="U255" s="82"/>
      <c r="V255" s="85" t="str">
        <f>HYPERLINK("https://pbs.twimg.com/profile_images/825717962481029123/h6cXfTnb_normal.jpg")</f>
        <v>https://pbs.twimg.com/profile_images/825717962481029123/h6cXfTnb_normal.jpg</v>
      </c>
      <c r="W255" s="84">
        <v>44731.39346064815</v>
      </c>
      <c r="X255" s="89">
        <v>44731</v>
      </c>
      <c r="Y255" s="87" t="s">
        <v>685</v>
      </c>
      <c r="Z255" s="85" t="str">
        <f>HYPERLINK("https://twitter.com/chombotofficial/status/1538453176579416064")</f>
        <v>https://twitter.com/chombotofficial/status/1538453176579416064</v>
      </c>
      <c r="AA255" s="82"/>
      <c r="AB255" s="82"/>
      <c r="AC255" s="87" t="s">
        <v>932</v>
      </c>
      <c r="AD255" s="82"/>
      <c r="AE255" s="82" t="b">
        <v>0</v>
      </c>
      <c r="AF255" s="82">
        <v>0</v>
      </c>
      <c r="AG255" s="87" t="s">
        <v>957</v>
      </c>
      <c r="AH255" s="82" t="b">
        <v>0</v>
      </c>
      <c r="AI255" s="82" t="s">
        <v>973</v>
      </c>
      <c r="AJ255" s="82"/>
      <c r="AK255" s="87" t="s">
        <v>957</v>
      </c>
      <c r="AL255" s="82" t="b">
        <v>0</v>
      </c>
      <c r="AM255" s="82">
        <v>0</v>
      </c>
      <c r="AN255" s="87" t="s">
        <v>957</v>
      </c>
      <c r="AO255" s="87" t="s">
        <v>305</v>
      </c>
      <c r="AP255" s="82" t="b">
        <v>0</v>
      </c>
      <c r="AQ255" s="87" t="s">
        <v>932</v>
      </c>
      <c r="AR255" s="82" t="s">
        <v>211</v>
      </c>
      <c r="AS255" s="82">
        <v>0</v>
      </c>
      <c r="AT255" s="82">
        <v>0</v>
      </c>
      <c r="AU255" s="82"/>
      <c r="AV255" s="82"/>
      <c r="AW255" s="82"/>
      <c r="AX255" s="82"/>
      <c r="AY255" s="82"/>
      <c r="AZ255" s="82"/>
      <c r="BA255" s="82"/>
      <c r="BB255" s="82"/>
      <c r="BC255">
        <v>142</v>
      </c>
      <c r="BD255" s="81" t="str">
        <f>REPLACE(INDEX(GroupVertices[Group],MATCH(Edges[[#This Row],[Vertex 1]],GroupVertices[Vertex],0)),1,1,"")</f>
        <v>2</v>
      </c>
      <c r="BE255" s="81" t="str">
        <f>REPLACE(INDEX(GroupVertices[Group],MATCH(Edges[[#This Row],[Vertex 2]],GroupVertices[Vertex],0)),1,1,"")</f>
        <v>2</v>
      </c>
      <c r="BF255" s="49">
        <v>0</v>
      </c>
      <c r="BG255" s="50">
        <v>0</v>
      </c>
      <c r="BH255" s="49">
        <v>0</v>
      </c>
      <c r="BI255" s="50">
        <v>0</v>
      </c>
      <c r="BJ255" s="49">
        <v>0</v>
      </c>
      <c r="BK255" s="50">
        <v>0</v>
      </c>
      <c r="BL255" s="49">
        <v>22</v>
      </c>
      <c r="BM255" s="50">
        <v>100</v>
      </c>
      <c r="BN255" s="49">
        <v>22</v>
      </c>
    </row>
    <row r="256" spans="1:66" ht="15">
      <c r="A256" s="66" t="s">
        <v>305</v>
      </c>
      <c r="B256" s="66" t="s">
        <v>305</v>
      </c>
      <c r="C256" s="67" t="s">
        <v>2140</v>
      </c>
      <c r="D256" s="68">
        <v>3</v>
      </c>
      <c r="E256" s="69" t="s">
        <v>136</v>
      </c>
      <c r="F256" s="70">
        <v>6</v>
      </c>
      <c r="G256" s="67"/>
      <c r="H256" s="71"/>
      <c r="I256" s="72"/>
      <c r="J256" s="72"/>
      <c r="K256" s="35" t="s">
        <v>65</v>
      </c>
      <c r="L256" s="80">
        <v>256</v>
      </c>
      <c r="M256" s="80"/>
      <c r="N256" s="74"/>
      <c r="O256" s="82" t="s">
        <v>211</v>
      </c>
      <c r="P256" s="84">
        <v>44731.417766203704</v>
      </c>
      <c r="Q256" s="82" t="s">
        <v>513</v>
      </c>
      <c r="R256" s="82"/>
      <c r="S256" s="82"/>
      <c r="T256" s="82"/>
      <c r="U256" s="82"/>
      <c r="V256" s="85" t="str">
        <f>HYPERLINK("https://pbs.twimg.com/profile_images/825717962481029123/h6cXfTnb_normal.jpg")</f>
        <v>https://pbs.twimg.com/profile_images/825717962481029123/h6cXfTnb_normal.jpg</v>
      </c>
      <c r="W256" s="84">
        <v>44731.417766203704</v>
      </c>
      <c r="X256" s="89">
        <v>44731</v>
      </c>
      <c r="Y256" s="87" t="s">
        <v>609</v>
      </c>
      <c r="Z256" s="85" t="str">
        <f>HYPERLINK("https://twitter.com/chombotofficial/status/1538461985246945283")</f>
        <v>https://twitter.com/chombotofficial/status/1538461985246945283</v>
      </c>
      <c r="AA256" s="82"/>
      <c r="AB256" s="82"/>
      <c r="AC256" s="87" t="s">
        <v>933</v>
      </c>
      <c r="AD256" s="82"/>
      <c r="AE256" s="82" t="b">
        <v>0</v>
      </c>
      <c r="AF256" s="82">
        <v>0</v>
      </c>
      <c r="AG256" s="87" t="s">
        <v>957</v>
      </c>
      <c r="AH256" s="82" t="b">
        <v>0</v>
      </c>
      <c r="AI256" s="82" t="s">
        <v>973</v>
      </c>
      <c r="AJ256" s="82"/>
      <c r="AK256" s="87" t="s">
        <v>957</v>
      </c>
      <c r="AL256" s="82" t="b">
        <v>0</v>
      </c>
      <c r="AM256" s="82">
        <v>0</v>
      </c>
      <c r="AN256" s="87" t="s">
        <v>957</v>
      </c>
      <c r="AO256" s="87" t="s">
        <v>305</v>
      </c>
      <c r="AP256" s="82" t="b">
        <v>0</v>
      </c>
      <c r="AQ256" s="87" t="s">
        <v>933</v>
      </c>
      <c r="AR256" s="82" t="s">
        <v>211</v>
      </c>
      <c r="AS256" s="82">
        <v>0</v>
      </c>
      <c r="AT256" s="82">
        <v>0</v>
      </c>
      <c r="AU256" s="82"/>
      <c r="AV256" s="82"/>
      <c r="AW256" s="82"/>
      <c r="AX256" s="82"/>
      <c r="AY256" s="82"/>
      <c r="AZ256" s="82"/>
      <c r="BA256" s="82"/>
      <c r="BB256" s="82"/>
      <c r="BC256">
        <v>142</v>
      </c>
      <c r="BD256" s="81" t="str">
        <f>REPLACE(INDEX(GroupVertices[Group],MATCH(Edges[[#This Row],[Vertex 1]],GroupVertices[Vertex],0)),1,1,"")</f>
        <v>2</v>
      </c>
      <c r="BE256" s="81" t="str">
        <f>REPLACE(INDEX(GroupVertices[Group],MATCH(Edges[[#This Row],[Vertex 2]],GroupVertices[Vertex],0)),1,1,"")</f>
        <v>2</v>
      </c>
      <c r="BF256" s="49">
        <v>0</v>
      </c>
      <c r="BG256" s="50">
        <v>0</v>
      </c>
      <c r="BH256" s="49">
        <v>2</v>
      </c>
      <c r="BI256" s="50">
        <v>11.11111111111111</v>
      </c>
      <c r="BJ256" s="49">
        <v>0</v>
      </c>
      <c r="BK256" s="50">
        <v>0</v>
      </c>
      <c r="BL256" s="49">
        <v>16</v>
      </c>
      <c r="BM256" s="50">
        <v>88.88888888888889</v>
      </c>
      <c r="BN256" s="49">
        <v>18</v>
      </c>
    </row>
    <row r="257" spans="1:66" ht="15">
      <c r="A257" s="66" t="s">
        <v>305</v>
      </c>
      <c r="B257" s="66" t="s">
        <v>305</v>
      </c>
      <c r="C257" s="67" t="s">
        <v>2140</v>
      </c>
      <c r="D257" s="68">
        <v>3</v>
      </c>
      <c r="E257" s="69" t="s">
        <v>136</v>
      </c>
      <c r="F257" s="70">
        <v>6</v>
      </c>
      <c r="G257" s="67"/>
      <c r="H257" s="71"/>
      <c r="I257" s="72"/>
      <c r="J257" s="72"/>
      <c r="K257" s="35" t="s">
        <v>65</v>
      </c>
      <c r="L257" s="80">
        <v>257</v>
      </c>
      <c r="M257" s="80"/>
      <c r="N257" s="74"/>
      <c r="O257" s="82" t="s">
        <v>211</v>
      </c>
      <c r="P257" s="84">
        <v>44731.435115740744</v>
      </c>
      <c r="Q257" s="82" t="s">
        <v>514</v>
      </c>
      <c r="R257" s="82"/>
      <c r="S257" s="82"/>
      <c r="T257" s="82"/>
      <c r="U257" s="82"/>
      <c r="V257" s="85" t="str">
        <f>HYPERLINK("https://pbs.twimg.com/profile_images/825717962481029123/h6cXfTnb_normal.jpg")</f>
        <v>https://pbs.twimg.com/profile_images/825717962481029123/h6cXfTnb_normal.jpg</v>
      </c>
      <c r="W257" s="84">
        <v>44731.435115740744</v>
      </c>
      <c r="X257" s="89">
        <v>44731</v>
      </c>
      <c r="Y257" s="87" t="s">
        <v>726</v>
      </c>
      <c r="Z257" s="85" t="str">
        <f>HYPERLINK("https://twitter.com/chombotofficial/status/1538468275105013761")</f>
        <v>https://twitter.com/chombotofficial/status/1538468275105013761</v>
      </c>
      <c r="AA257" s="82"/>
      <c r="AB257" s="82"/>
      <c r="AC257" s="87" t="s">
        <v>934</v>
      </c>
      <c r="AD257" s="82"/>
      <c r="AE257" s="82" t="b">
        <v>0</v>
      </c>
      <c r="AF257" s="82">
        <v>0</v>
      </c>
      <c r="AG257" s="87" t="s">
        <v>957</v>
      </c>
      <c r="AH257" s="82" t="b">
        <v>0</v>
      </c>
      <c r="AI257" s="82" t="s">
        <v>973</v>
      </c>
      <c r="AJ257" s="82"/>
      <c r="AK257" s="87" t="s">
        <v>957</v>
      </c>
      <c r="AL257" s="82" t="b">
        <v>0</v>
      </c>
      <c r="AM257" s="82">
        <v>0</v>
      </c>
      <c r="AN257" s="87" t="s">
        <v>957</v>
      </c>
      <c r="AO257" s="87" t="s">
        <v>305</v>
      </c>
      <c r="AP257" s="82" t="b">
        <v>0</v>
      </c>
      <c r="AQ257" s="87" t="s">
        <v>934</v>
      </c>
      <c r="AR257" s="82" t="s">
        <v>211</v>
      </c>
      <c r="AS257" s="82">
        <v>0</v>
      </c>
      <c r="AT257" s="82">
        <v>0</v>
      </c>
      <c r="AU257" s="82"/>
      <c r="AV257" s="82"/>
      <c r="AW257" s="82"/>
      <c r="AX257" s="82"/>
      <c r="AY257" s="82"/>
      <c r="AZ257" s="82"/>
      <c r="BA257" s="82"/>
      <c r="BB257" s="82"/>
      <c r="BC257">
        <v>142</v>
      </c>
      <c r="BD257" s="81" t="str">
        <f>REPLACE(INDEX(GroupVertices[Group],MATCH(Edges[[#This Row],[Vertex 1]],GroupVertices[Vertex],0)),1,1,"")</f>
        <v>2</v>
      </c>
      <c r="BE257" s="81" t="str">
        <f>REPLACE(INDEX(GroupVertices[Group],MATCH(Edges[[#This Row],[Vertex 2]],GroupVertices[Vertex],0)),1,1,"")</f>
        <v>2</v>
      </c>
      <c r="BF257" s="49">
        <v>0</v>
      </c>
      <c r="BG257" s="50">
        <v>0</v>
      </c>
      <c r="BH257" s="49">
        <v>1</v>
      </c>
      <c r="BI257" s="50">
        <v>4.166666666666667</v>
      </c>
      <c r="BJ257" s="49">
        <v>0</v>
      </c>
      <c r="BK257" s="50">
        <v>0</v>
      </c>
      <c r="BL257" s="49">
        <v>23</v>
      </c>
      <c r="BM257" s="50">
        <v>95.83333333333333</v>
      </c>
      <c r="BN257" s="49">
        <v>24</v>
      </c>
    </row>
    <row r="258" spans="1:66" ht="15">
      <c r="A258" s="66" t="s">
        <v>305</v>
      </c>
      <c r="B258" s="66" t="s">
        <v>305</v>
      </c>
      <c r="C258" s="67" t="s">
        <v>2140</v>
      </c>
      <c r="D258" s="68">
        <v>3</v>
      </c>
      <c r="E258" s="69" t="s">
        <v>136</v>
      </c>
      <c r="F258" s="70">
        <v>6</v>
      </c>
      <c r="G258" s="67"/>
      <c r="H258" s="71"/>
      <c r="I258" s="72"/>
      <c r="J258" s="72"/>
      <c r="K258" s="35" t="s">
        <v>65</v>
      </c>
      <c r="L258" s="80">
        <v>258</v>
      </c>
      <c r="M258" s="80"/>
      <c r="N258" s="74"/>
      <c r="O258" s="82" t="s">
        <v>211</v>
      </c>
      <c r="P258" s="84">
        <v>44731.45943287037</v>
      </c>
      <c r="Q258" s="82" t="s">
        <v>515</v>
      </c>
      <c r="R258" s="82"/>
      <c r="S258" s="82"/>
      <c r="T258" s="82"/>
      <c r="U258" s="82"/>
      <c r="V258" s="85" t="str">
        <f>HYPERLINK("https://pbs.twimg.com/profile_images/825717962481029123/h6cXfTnb_normal.jpg")</f>
        <v>https://pbs.twimg.com/profile_images/825717962481029123/h6cXfTnb_normal.jpg</v>
      </c>
      <c r="W258" s="84">
        <v>44731.45943287037</v>
      </c>
      <c r="X258" s="89">
        <v>44731</v>
      </c>
      <c r="Y258" s="87" t="s">
        <v>626</v>
      </c>
      <c r="Z258" s="85" t="str">
        <f>HYPERLINK("https://twitter.com/chombotofficial/status/1538477084112302082")</f>
        <v>https://twitter.com/chombotofficial/status/1538477084112302082</v>
      </c>
      <c r="AA258" s="82"/>
      <c r="AB258" s="82"/>
      <c r="AC258" s="87" t="s">
        <v>935</v>
      </c>
      <c r="AD258" s="82"/>
      <c r="AE258" s="82" t="b">
        <v>0</v>
      </c>
      <c r="AF258" s="82">
        <v>0</v>
      </c>
      <c r="AG258" s="87" t="s">
        <v>957</v>
      </c>
      <c r="AH258" s="82" t="b">
        <v>0</v>
      </c>
      <c r="AI258" s="82" t="s">
        <v>973</v>
      </c>
      <c r="AJ258" s="82"/>
      <c r="AK258" s="87" t="s">
        <v>957</v>
      </c>
      <c r="AL258" s="82" t="b">
        <v>0</v>
      </c>
      <c r="AM258" s="82">
        <v>0</v>
      </c>
      <c r="AN258" s="87" t="s">
        <v>957</v>
      </c>
      <c r="AO258" s="87" t="s">
        <v>305</v>
      </c>
      <c r="AP258" s="82" t="b">
        <v>0</v>
      </c>
      <c r="AQ258" s="87" t="s">
        <v>935</v>
      </c>
      <c r="AR258" s="82" t="s">
        <v>211</v>
      </c>
      <c r="AS258" s="82">
        <v>0</v>
      </c>
      <c r="AT258" s="82">
        <v>0</v>
      </c>
      <c r="AU258" s="82"/>
      <c r="AV258" s="82"/>
      <c r="AW258" s="82"/>
      <c r="AX258" s="82"/>
      <c r="AY258" s="82"/>
      <c r="AZ258" s="82"/>
      <c r="BA258" s="82"/>
      <c r="BB258" s="82"/>
      <c r="BC258">
        <v>142</v>
      </c>
      <c r="BD258" s="81" t="str">
        <f>REPLACE(INDEX(GroupVertices[Group],MATCH(Edges[[#This Row],[Vertex 1]],GroupVertices[Vertex],0)),1,1,"")</f>
        <v>2</v>
      </c>
      <c r="BE258" s="81" t="str">
        <f>REPLACE(INDEX(GroupVertices[Group],MATCH(Edges[[#This Row],[Vertex 2]],GroupVertices[Vertex],0)),1,1,"")</f>
        <v>2</v>
      </c>
      <c r="BF258" s="49">
        <v>1</v>
      </c>
      <c r="BG258" s="50">
        <v>7.142857142857143</v>
      </c>
      <c r="BH258" s="49">
        <v>1</v>
      </c>
      <c r="BI258" s="50">
        <v>7.142857142857143</v>
      </c>
      <c r="BJ258" s="49">
        <v>0</v>
      </c>
      <c r="BK258" s="50">
        <v>0</v>
      </c>
      <c r="BL258" s="49">
        <v>12</v>
      </c>
      <c r="BM258" s="50">
        <v>85.71428571428571</v>
      </c>
      <c r="BN258" s="49">
        <v>14</v>
      </c>
    </row>
    <row r="259" spans="1:66" ht="15">
      <c r="A259" s="66" t="s">
        <v>305</v>
      </c>
      <c r="B259" s="66" t="s">
        <v>305</v>
      </c>
      <c r="C259" s="67" t="s">
        <v>2140</v>
      </c>
      <c r="D259" s="68">
        <v>3</v>
      </c>
      <c r="E259" s="69" t="s">
        <v>136</v>
      </c>
      <c r="F259" s="70">
        <v>6</v>
      </c>
      <c r="G259" s="67"/>
      <c r="H259" s="71"/>
      <c r="I259" s="72"/>
      <c r="J259" s="72"/>
      <c r="K259" s="35" t="s">
        <v>65</v>
      </c>
      <c r="L259" s="80">
        <v>259</v>
      </c>
      <c r="M259" s="80"/>
      <c r="N259" s="74"/>
      <c r="O259" s="82" t="s">
        <v>211</v>
      </c>
      <c r="P259" s="84">
        <v>44731.462905092594</v>
      </c>
      <c r="Q259" s="82" t="s">
        <v>516</v>
      </c>
      <c r="R259" s="82"/>
      <c r="S259" s="82"/>
      <c r="T259" s="82"/>
      <c r="U259" s="82"/>
      <c r="V259" s="85" t="str">
        <f>HYPERLINK("https://pbs.twimg.com/profile_images/825717962481029123/h6cXfTnb_normal.jpg")</f>
        <v>https://pbs.twimg.com/profile_images/825717962481029123/h6cXfTnb_normal.jpg</v>
      </c>
      <c r="W259" s="84">
        <v>44731.462905092594</v>
      </c>
      <c r="X259" s="89">
        <v>44731</v>
      </c>
      <c r="Y259" s="87" t="s">
        <v>727</v>
      </c>
      <c r="Z259" s="85" t="str">
        <f>HYPERLINK("https://twitter.com/chombotofficial/status/1538478343577915392")</f>
        <v>https://twitter.com/chombotofficial/status/1538478343577915392</v>
      </c>
      <c r="AA259" s="82"/>
      <c r="AB259" s="82"/>
      <c r="AC259" s="87" t="s">
        <v>936</v>
      </c>
      <c r="AD259" s="82"/>
      <c r="AE259" s="82" t="b">
        <v>0</v>
      </c>
      <c r="AF259" s="82">
        <v>0</v>
      </c>
      <c r="AG259" s="87" t="s">
        <v>957</v>
      </c>
      <c r="AH259" s="82" t="b">
        <v>0</v>
      </c>
      <c r="AI259" s="82" t="s">
        <v>973</v>
      </c>
      <c r="AJ259" s="82"/>
      <c r="AK259" s="87" t="s">
        <v>957</v>
      </c>
      <c r="AL259" s="82" t="b">
        <v>0</v>
      </c>
      <c r="AM259" s="82">
        <v>0</v>
      </c>
      <c r="AN259" s="87" t="s">
        <v>957</v>
      </c>
      <c r="AO259" s="87" t="s">
        <v>305</v>
      </c>
      <c r="AP259" s="82" t="b">
        <v>0</v>
      </c>
      <c r="AQ259" s="87" t="s">
        <v>936</v>
      </c>
      <c r="AR259" s="82" t="s">
        <v>211</v>
      </c>
      <c r="AS259" s="82">
        <v>0</v>
      </c>
      <c r="AT259" s="82">
        <v>0</v>
      </c>
      <c r="AU259" s="82"/>
      <c r="AV259" s="82"/>
      <c r="AW259" s="82"/>
      <c r="AX259" s="82"/>
      <c r="AY259" s="82"/>
      <c r="AZ259" s="82"/>
      <c r="BA259" s="82"/>
      <c r="BB259" s="82"/>
      <c r="BC259">
        <v>142</v>
      </c>
      <c r="BD259" s="81" t="str">
        <f>REPLACE(INDEX(GroupVertices[Group],MATCH(Edges[[#This Row],[Vertex 1]],GroupVertices[Vertex],0)),1,1,"")</f>
        <v>2</v>
      </c>
      <c r="BE259" s="81" t="str">
        <f>REPLACE(INDEX(GroupVertices[Group],MATCH(Edges[[#This Row],[Vertex 2]],GroupVertices[Vertex],0)),1,1,"")</f>
        <v>2</v>
      </c>
      <c r="BF259" s="49">
        <v>0</v>
      </c>
      <c r="BG259" s="50">
        <v>0</v>
      </c>
      <c r="BH259" s="49">
        <v>0</v>
      </c>
      <c r="BI259" s="50">
        <v>0</v>
      </c>
      <c r="BJ259" s="49">
        <v>0</v>
      </c>
      <c r="BK259" s="50">
        <v>0</v>
      </c>
      <c r="BL259" s="49">
        <v>10</v>
      </c>
      <c r="BM259" s="50">
        <v>100</v>
      </c>
      <c r="BN259"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AD982-8DE2-4021-9820-123719A90265}">
  <dimension ref="A1:L644"/>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2085</v>
      </c>
      <c r="B1" s="13" t="s">
        <v>2086</v>
      </c>
      <c r="C1" s="13" t="s">
        <v>2076</v>
      </c>
      <c r="D1" s="13" t="s">
        <v>2080</v>
      </c>
      <c r="E1" s="13" t="s">
        <v>2087</v>
      </c>
      <c r="F1" s="13" t="s">
        <v>144</v>
      </c>
      <c r="G1" s="13" t="s">
        <v>2088</v>
      </c>
      <c r="H1" s="13" t="s">
        <v>2089</v>
      </c>
      <c r="I1" s="13" t="s">
        <v>2090</v>
      </c>
      <c r="J1" s="13" t="s">
        <v>2091</v>
      </c>
      <c r="K1" s="13" t="s">
        <v>2092</v>
      </c>
      <c r="L1" s="13" t="s">
        <v>2093</v>
      </c>
    </row>
    <row r="2" spans="1:12" ht="15">
      <c r="A2" s="90" t="s">
        <v>1495</v>
      </c>
      <c r="B2" s="90" t="s">
        <v>1496</v>
      </c>
      <c r="C2" s="90">
        <v>216</v>
      </c>
      <c r="D2" s="114">
        <v>0.001067725359010001</v>
      </c>
      <c r="E2" s="114">
        <v>1.0983997762338678</v>
      </c>
      <c r="F2" s="90" t="s">
        <v>2081</v>
      </c>
      <c r="G2" s="90" t="b">
        <v>0</v>
      </c>
      <c r="H2" s="90" t="b">
        <v>0</v>
      </c>
      <c r="I2" s="90" t="b">
        <v>0</v>
      </c>
      <c r="J2" s="90" t="b">
        <v>0</v>
      </c>
      <c r="K2" s="90" t="b">
        <v>0</v>
      </c>
      <c r="L2" s="90" t="b">
        <v>0</v>
      </c>
    </row>
    <row r="3" spans="1:12" ht="15">
      <c r="A3" s="87" t="s">
        <v>1501</v>
      </c>
      <c r="B3" s="90" t="s">
        <v>1502</v>
      </c>
      <c r="C3" s="90">
        <v>37</v>
      </c>
      <c r="D3" s="114">
        <v>0.01007512976554376</v>
      </c>
      <c r="E3" s="114">
        <v>1.8766234754427527</v>
      </c>
      <c r="F3" s="90" t="s">
        <v>2081</v>
      </c>
      <c r="G3" s="90" t="b">
        <v>0</v>
      </c>
      <c r="H3" s="90" t="b">
        <v>0</v>
      </c>
      <c r="I3" s="90" t="b">
        <v>0</v>
      </c>
      <c r="J3" s="90" t="b">
        <v>0</v>
      </c>
      <c r="K3" s="90" t="b">
        <v>0</v>
      </c>
      <c r="L3" s="90" t="b">
        <v>0</v>
      </c>
    </row>
    <row r="4" spans="1:12" ht="15">
      <c r="A4" s="87" t="s">
        <v>1502</v>
      </c>
      <c r="B4" s="90" t="s">
        <v>1503</v>
      </c>
      <c r="C4" s="90">
        <v>37</v>
      </c>
      <c r="D4" s="114">
        <v>0.01007512976554376</v>
      </c>
      <c r="E4" s="114">
        <v>1.8766234754427527</v>
      </c>
      <c r="F4" s="90" t="s">
        <v>2081</v>
      </c>
      <c r="G4" s="90" t="b">
        <v>0</v>
      </c>
      <c r="H4" s="90" t="b">
        <v>0</v>
      </c>
      <c r="I4" s="90" t="b">
        <v>0</v>
      </c>
      <c r="J4" s="90" t="b">
        <v>0</v>
      </c>
      <c r="K4" s="90" t="b">
        <v>0</v>
      </c>
      <c r="L4" s="90" t="b">
        <v>0</v>
      </c>
    </row>
    <row r="5" spans="1:12" ht="15">
      <c r="A5" s="87" t="s">
        <v>1797</v>
      </c>
      <c r="B5" s="90" t="s">
        <v>1497</v>
      </c>
      <c r="C5" s="90">
        <v>29</v>
      </c>
      <c r="D5" s="114">
        <v>0.008458623250349552</v>
      </c>
      <c r="E5" s="114">
        <v>1.6966371725035472</v>
      </c>
      <c r="F5" s="90" t="s">
        <v>2081</v>
      </c>
      <c r="G5" s="90" t="b">
        <v>0</v>
      </c>
      <c r="H5" s="90" t="b">
        <v>0</v>
      </c>
      <c r="I5" s="90" t="b">
        <v>0</v>
      </c>
      <c r="J5" s="90" t="b">
        <v>0</v>
      </c>
      <c r="K5" s="90" t="b">
        <v>0</v>
      </c>
      <c r="L5" s="90" t="b">
        <v>0</v>
      </c>
    </row>
    <row r="6" spans="1:12" ht="15">
      <c r="A6" s="87" t="s">
        <v>1798</v>
      </c>
      <c r="B6" s="90" t="s">
        <v>1497</v>
      </c>
      <c r="C6" s="90">
        <v>27</v>
      </c>
      <c r="D6" s="114">
        <v>0.008479200200061843</v>
      </c>
      <c r="E6" s="114">
        <v>1.6966371725035474</v>
      </c>
      <c r="F6" s="90" t="s">
        <v>2081</v>
      </c>
      <c r="G6" s="90" t="b">
        <v>0</v>
      </c>
      <c r="H6" s="90" t="b">
        <v>0</v>
      </c>
      <c r="I6" s="90" t="b">
        <v>0</v>
      </c>
      <c r="J6" s="90" t="b">
        <v>0</v>
      </c>
      <c r="K6" s="90" t="b">
        <v>0</v>
      </c>
      <c r="L6" s="90" t="b">
        <v>0</v>
      </c>
    </row>
    <row r="7" spans="1:12" ht="15">
      <c r="A7" s="87" t="s">
        <v>1801</v>
      </c>
      <c r="B7" s="90" t="s">
        <v>1803</v>
      </c>
      <c r="C7" s="90">
        <v>23</v>
      </c>
      <c r="D7" s="114">
        <v>0.0075134122691759096</v>
      </c>
      <c r="E7" s="114">
        <v>2.083097363492155</v>
      </c>
      <c r="F7" s="90" t="s">
        <v>2081</v>
      </c>
      <c r="G7" s="90" t="b">
        <v>0</v>
      </c>
      <c r="H7" s="90" t="b">
        <v>0</v>
      </c>
      <c r="I7" s="90" t="b">
        <v>0</v>
      </c>
      <c r="J7" s="90" t="b">
        <v>0</v>
      </c>
      <c r="K7" s="90" t="b">
        <v>0</v>
      </c>
      <c r="L7" s="90" t="b">
        <v>0</v>
      </c>
    </row>
    <row r="8" spans="1:12" ht="15">
      <c r="A8" s="87" t="s">
        <v>1804</v>
      </c>
      <c r="B8" s="90" t="s">
        <v>1805</v>
      </c>
      <c r="C8" s="90">
        <v>18</v>
      </c>
      <c r="D8" s="114">
        <v>0.006404185786214321</v>
      </c>
      <c r="E8" s="114">
        <v>2.1895526944064416</v>
      </c>
      <c r="F8" s="90" t="s">
        <v>2081</v>
      </c>
      <c r="G8" s="90" t="b">
        <v>0</v>
      </c>
      <c r="H8" s="90" t="b">
        <v>0</v>
      </c>
      <c r="I8" s="90" t="b">
        <v>0</v>
      </c>
      <c r="J8" s="90" t="b">
        <v>0</v>
      </c>
      <c r="K8" s="90" t="b">
        <v>0</v>
      </c>
      <c r="L8" s="90" t="b">
        <v>0</v>
      </c>
    </row>
    <row r="9" spans="1:12" ht="15">
      <c r="A9" s="87" t="s">
        <v>1496</v>
      </c>
      <c r="B9" s="90" t="s">
        <v>1797</v>
      </c>
      <c r="C9" s="90">
        <v>16</v>
      </c>
      <c r="D9" s="114">
        <v>0.005966061094314089</v>
      </c>
      <c r="E9" s="114">
        <v>0.8537605924832485</v>
      </c>
      <c r="F9" s="90" t="s">
        <v>2081</v>
      </c>
      <c r="G9" s="90" t="b">
        <v>0</v>
      </c>
      <c r="H9" s="90" t="b">
        <v>0</v>
      </c>
      <c r="I9" s="90" t="b">
        <v>0</v>
      </c>
      <c r="J9" s="90" t="b">
        <v>0</v>
      </c>
      <c r="K9" s="90" t="b">
        <v>0</v>
      </c>
      <c r="L9" s="90" t="b">
        <v>0</v>
      </c>
    </row>
    <row r="10" spans="1:12" ht="15">
      <c r="A10" s="87" t="s">
        <v>1496</v>
      </c>
      <c r="B10" s="90" t="s">
        <v>1500</v>
      </c>
      <c r="C10" s="90">
        <v>15</v>
      </c>
      <c r="D10" s="114">
        <v>0.005733653660484662</v>
      </c>
      <c r="E10" s="114">
        <v>0.6693846680230808</v>
      </c>
      <c r="F10" s="90" t="s">
        <v>2081</v>
      </c>
      <c r="G10" s="90" t="b">
        <v>0</v>
      </c>
      <c r="H10" s="90" t="b">
        <v>0</v>
      </c>
      <c r="I10" s="90" t="b">
        <v>0</v>
      </c>
      <c r="J10" s="90" t="b">
        <v>0</v>
      </c>
      <c r="K10" s="90" t="b">
        <v>0</v>
      </c>
      <c r="L10" s="90" t="b">
        <v>0</v>
      </c>
    </row>
    <row r="11" spans="1:12" ht="15">
      <c r="A11" s="87" t="s">
        <v>1498</v>
      </c>
      <c r="B11" s="90" t="s">
        <v>1495</v>
      </c>
      <c r="C11" s="90">
        <v>14</v>
      </c>
      <c r="D11" s="114">
        <v>0.005491565488158846</v>
      </c>
      <c r="E11" s="114">
        <v>0.5744212942307206</v>
      </c>
      <c r="F11" s="90" t="s">
        <v>2081</v>
      </c>
      <c r="G11" s="90" t="b">
        <v>0</v>
      </c>
      <c r="H11" s="90" t="b">
        <v>1</v>
      </c>
      <c r="I11" s="90" t="b">
        <v>0</v>
      </c>
      <c r="J11" s="90" t="b">
        <v>0</v>
      </c>
      <c r="K11" s="90" t="b">
        <v>0</v>
      </c>
      <c r="L11" s="90" t="b">
        <v>0</v>
      </c>
    </row>
    <row r="12" spans="1:12" ht="15">
      <c r="A12" s="87" t="s">
        <v>1496</v>
      </c>
      <c r="B12" s="90" t="s">
        <v>1499</v>
      </c>
      <c r="C12" s="90">
        <v>14</v>
      </c>
      <c r="D12" s="114">
        <v>0.005491565488158846</v>
      </c>
      <c r="E12" s="114">
        <v>0.6007920422895067</v>
      </c>
      <c r="F12" s="90" t="s">
        <v>2081</v>
      </c>
      <c r="G12" s="90" t="b">
        <v>0</v>
      </c>
      <c r="H12" s="90" t="b">
        <v>0</v>
      </c>
      <c r="I12" s="90" t="b">
        <v>0</v>
      </c>
      <c r="J12" s="90" t="b">
        <v>0</v>
      </c>
      <c r="K12" s="90" t="b">
        <v>0</v>
      </c>
      <c r="L12" s="90" t="b">
        <v>0</v>
      </c>
    </row>
    <row r="13" spans="1:12" ht="15">
      <c r="A13" s="87" t="s">
        <v>1496</v>
      </c>
      <c r="B13" s="90" t="s">
        <v>539</v>
      </c>
      <c r="C13" s="90">
        <v>13</v>
      </c>
      <c r="D13" s="114">
        <v>0.005239103955714942</v>
      </c>
      <c r="E13" s="114">
        <v>0.5779473851722489</v>
      </c>
      <c r="F13" s="90" t="s">
        <v>2081</v>
      </c>
      <c r="G13" s="90" t="b">
        <v>0</v>
      </c>
      <c r="H13" s="90" t="b">
        <v>0</v>
      </c>
      <c r="I13" s="90" t="b">
        <v>0</v>
      </c>
      <c r="J13" s="90" t="b">
        <v>0</v>
      </c>
      <c r="K13" s="90" t="b">
        <v>0</v>
      </c>
      <c r="L13" s="90" t="b">
        <v>0</v>
      </c>
    </row>
    <row r="14" spans="1:12" ht="15">
      <c r="A14" s="87" t="s">
        <v>1807</v>
      </c>
      <c r="B14" s="90" t="s">
        <v>1495</v>
      </c>
      <c r="C14" s="90">
        <v>12</v>
      </c>
      <c r="D14" s="114">
        <v>0.004975469589295406</v>
      </c>
      <c r="E14" s="114">
        <v>0.9935506019726962</v>
      </c>
      <c r="F14" s="90" t="s">
        <v>2081</v>
      </c>
      <c r="G14" s="90" t="b">
        <v>0</v>
      </c>
      <c r="H14" s="90" t="b">
        <v>0</v>
      </c>
      <c r="I14" s="90" t="b">
        <v>0</v>
      </c>
      <c r="J14" s="90" t="b">
        <v>0</v>
      </c>
      <c r="K14" s="90" t="b">
        <v>0</v>
      </c>
      <c r="L14" s="90" t="b">
        <v>0</v>
      </c>
    </row>
    <row r="15" spans="1:12" ht="15">
      <c r="A15" s="87" t="s">
        <v>1796</v>
      </c>
      <c r="B15" s="90" t="s">
        <v>1495</v>
      </c>
      <c r="C15" s="90">
        <v>11</v>
      </c>
      <c r="D15" s="114">
        <v>0.004699729238383267</v>
      </c>
      <c r="E15" s="114">
        <v>0.6685203299049487</v>
      </c>
      <c r="F15" s="90" t="s">
        <v>2081</v>
      </c>
      <c r="G15" s="90" t="b">
        <v>0</v>
      </c>
      <c r="H15" s="90" t="b">
        <v>0</v>
      </c>
      <c r="I15" s="90" t="b">
        <v>0</v>
      </c>
      <c r="J15" s="90" t="b">
        <v>0</v>
      </c>
      <c r="K15" s="90" t="b">
        <v>0</v>
      </c>
      <c r="L15" s="90" t="b">
        <v>0</v>
      </c>
    </row>
    <row r="16" spans="1:12" ht="15">
      <c r="A16" s="87" t="s">
        <v>1795</v>
      </c>
      <c r="B16" s="90" t="s">
        <v>1495</v>
      </c>
      <c r="C16" s="90">
        <v>10</v>
      </c>
      <c r="D16" s="114">
        <v>0.004410779439061323</v>
      </c>
      <c r="E16" s="114">
        <v>0.6133393602610903</v>
      </c>
      <c r="F16" s="90" t="s">
        <v>2081</v>
      </c>
      <c r="G16" s="90" t="b">
        <v>0</v>
      </c>
      <c r="H16" s="90" t="b">
        <v>0</v>
      </c>
      <c r="I16" s="90" t="b">
        <v>0</v>
      </c>
      <c r="J16" s="90" t="b">
        <v>0</v>
      </c>
      <c r="K16" s="90" t="b">
        <v>0</v>
      </c>
      <c r="L16" s="90" t="b">
        <v>0</v>
      </c>
    </row>
    <row r="17" spans="1:12" ht="15">
      <c r="A17" s="87" t="s">
        <v>1793</v>
      </c>
      <c r="B17" s="90" t="s">
        <v>1495</v>
      </c>
      <c r="C17" s="90">
        <v>10</v>
      </c>
      <c r="D17" s="114">
        <v>0.004410779439061323</v>
      </c>
      <c r="E17" s="114">
        <v>0.5870104215387412</v>
      </c>
      <c r="F17" s="90" t="s">
        <v>2081</v>
      </c>
      <c r="G17" s="90" t="b">
        <v>0</v>
      </c>
      <c r="H17" s="90" t="b">
        <v>0</v>
      </c>
      <c r="I17" s="90" t="b">
        <v>0</v>
      </c>
      <c r="J17" s="90" t="b">
        <v>0</v>
      </c>
      <c r="K17" s="90" t="b">
        <v>0</v>
      </c>
      <c r="L17" s="90" t="b">
        <v>0</v>
      </c>
    </row>
    <row r="18" spans="1:12" ht="15">
      <c r="A18" s="87" t="s">
        <v>1497</v>
      </c>
      <c r="B18" s="90" t="s">
        <v>1495</v>
      </c>
      <c r="C18" s="90">
        <v>9</v>
      </c>
      <c r="D18" s="114">
        <v>0.004107295018391434</v>
      </c>
      <c r="E18" s="114">
        <v>0.3323691585260773</v>
      </c>
      <c r="F18" s="90" t="s">
        <v>2081</v>
      </c>
      <c r="G18" s="90" t="b">
        <v>0</v>
      </c>
      <c r="H18" s="90" t="b">
        <v>0</v>
      </c>
      <c r="I18" s="90" t="b">
        <v>0</v>
      </c>
      <c r="J18" s="90" t="b">
        <v>0</v>
      </c>
      <c r="K18" s="90" t="b">
        <v>0</v>
      </c>
      <c r="L18" s="90" t="b">
        <v>0</v>
      </c>
    </row>
    <row r="19" spans="1:12" ht="15">
      <c r="A19" s="87" t="s">
        <v>1799</v>
      </c>
      <c r="B19" s="90" t="s">
        <v>1495</v>
      </c>
      <c r="C19" s="90">
        <v>9</v>
      </c>
      <c r="D19" s="114">
        <v>0.004107295018391434</v>
      </c>
      <c r="E19" s="114">
        <v>0.6747918393482835</v>
      </c>
      <c r="F19" s="90" t="s">
        <v>2081</v>
      </c>
      <c r="G19" s="90" t="b">
        <v>0</v>
      </c>
      <c r="H19" s="90" t="b">
        <v>0</v>
      </c>
      <c r="I19" s="90" t="b">
        <v>0</v>
      </c>
      <c r="J19" s="90" t="b">
        <v>0</v>
      </c>
      <c r="K19" s="90" t="b">
        <v>0</v>
      </c>
      <c r="L19" s="90" t="b">
        <v>0</v>
      </c>
    </row>
    <row r="20" spans="1:12" ht="15">
      <c r="A20" s="87" t="s">
        <v>1496</v>
      </c>
      <c r="B20" s="90" t="s">
        <v>1794</v>
      </c>
      <c r="C20" s="90">
        <v>8</v>
      </c>
      <c r="D20" s="114">
        <v>0.003787654658520843</v>
      </c>
      <c r="E20" s="114">
        <v>0.5113379116610424</v>
      </c>
      <c r="F20" s="90" t="s">
        <v>2081</v>
      </c>
      <c r="G20" s="90" t="b">
        <v>0</v>
      </c>
      <c r="H20" s="90" t="b">
        <v>0</v>
      </c>
      <c r="I20" s="90" t="b">
        <v>0</v>
      </c>
      <c r="J20" s="90" t="b">
        <v>0</v>
      </c>
      <c r="K20" s="90" t="b">
        <v>0</v>
      </c>
      <c r="L20" s="90" t="b">
        <v>0</v>
      </c>
    </row>
    <row r="21" spans="1:12" ht="15">
      <c r="A21" s="87" t="s">
        <v>1499</v>
      </c>
      <c r="B21" s="90" t="s">
        <v>1495</v>
      </c>
      <c r="C21" s="90">
        <v>8</v>
      </c>
      <c r="D21" s="114">
        <v>0.003787654658520843</v>
      </c>
      <c r="E21" s="114">
        <v>0.34033808819735273</v>
      </c>
      <c r="F21" s="90" t="s">
        <v>2081</v>
      </c>
      <c r="G21" s="90" t="b">
        <v>0</v>
      </c>
      <c r="H21" s="90" t="b">
        <v>0</v>
      </c>
      <c r="I21" s="90" t="b">
        <v>0</v>
      </c>
      <c r="J21" s="90" t="b">
        <v>0</v>
      </c>
      <c r="K21" s="90" t="b">
        <v>0</v>
      </c>
      <c r="L21" s="90" t="b">
        <v>0</v>
      </c>
    </row>
    <row r="22" spans="1:12" ht="15">
      <c r="A22" s="87" t="s">
        <v>539</v>
      </c>
      <c r="B22" s="90" t="s">
        <v>1495</v>
      </c>
      <c r="C22" s="90">
        <v>8</v>
      </c>
      <c r="D22" s="114">
        <v>0.003787654658520843</v>
      </c>
      <c r="E22" s="114">
        <v>0.34033808819735273</v>
      </c>
      <c r="F22" s="90" t="s">
        <v>2081</v>
      </c>
      <c r="G22" s="90" t="b">
        <v>0</v>
      </c>
      <c r="H22" s="90" t="b">
        <v>0</v>
      </c>
      <c r="I22" s="90" t="b">
        <v>0</v>
      </c>
      <c r="J22" s="90" t="b">
        <v>0</v>
      </c>
      <c r="K22" s="90" t="b">
        <v>0</v>
      </c>
      <c r="L22" s="90" t="b">
        <v>0</v>
      </c>
    </row>
    <row r="23" spans="1:12" ht="15">
      <c r="A23" s="87" t="s">
        <v>1496</v>
      </c>
      <c r="B23" s="90" t="s">
        <v>1798</v>
      </c>
      <c r="C23" s="90">
        <v>8</v>
      </c>
      <c r="D23" s="114">
        <v>0.003787654658520843</v>
      </c>
      <c r="E23" s="114">
        <v>0.5826938201967106</v>
      </c>
      <c r="F23" s="90" t="s">
        <v>2081</v>
      </c>
      <c r="G23" s="90" t="b">
        <v>0</v>
      </c>
      <c r="H23" s="90" t="b">
        <v>0</v>
      </c>
      <c r="I23" s="90" t="b">
        <v>0</v>
      </c>
      <c r="J23" s="90" t="b">
        <v>0</v>
      </c>
      <c r="K23" s="90" t="b">
        <v>0</v>
      </c>
      <c r="L23" s="90" t="b">
        <v>0</v>
      </c>
    </row>
    <row r="24" spans="1:12" ht="15">
      <c r="A24" s="87" t="s">
        <v>1509</v>
      </c>
      <c r="B24" s="90" t="s">
        <v>1510</v>
      </c>
      <c r="C24" s="90">
        <v>8</v>
      </c>
      <c r="D24" s="114">
        <v>0.003787654658520843</v>
      </c>
      <c r="E24" s="114">
        <v>2.5417352125178043</v>
      </c>
      <c r="F24" s="90" t="s">
        <v>2081</v>
      </c>
      <c r="G24" s="90" t="b">
        <v>0</v>
      </c>
      <c r="H24" s="90" t="b">
        <v>0</v>
      </c>
      <c r="I24" s="90" t="b">
        <v>0</v>
      </c>
      <c r="J24" s="90" t="b">
        <v>0</v>
      </c>
      <c r="K24" s="90" t="b">
        <v>0</v>
      </c>
      <c r="L24" s="90" t="b">
        <v>0</v>
      </c>
    </row>
    <row r="25" spans="1:12" ht="15">
      <c r="A25" s="87" t="s">
        <v>1826</v>
      </c>
      <c r="B25" s="90" t="s">
        <v>1827</v>
      </c>
      <c r="C25" s="90">
        <v>8</v>
      </c>
      <c r="D25" s="114">
        <v>0.003787654658520843</v>
      </c>
      <c r="E25" s="114">
        <v>2.5417352125178043</v>
      </c>
      <c r="F25" s="90" t="s">
        <v>2081</v>
      </c>
      <c r="G25" s="90" t="b">
        <v>0</v>
      </c>
      <c r="H25" s="90" t="b">
        <v>0</v>
      </c>
      <c r="I25" s="90" t="b">
        <v>0</v>
      </c>
      <c r="J25" s="90" t="b">
        <v>0</v>
      </c>
      <c r="K25" s="90" t="b">
        <v>0</v>
      </c>
      <c r="L25" s="90" t="b">
        <v>0</v>
      </c>
    </row>
    <row r="26" spans="1:12" ht="15">
      <c r="A26" s="87" t="s">
        <v>1814</v>
      </c>
      <c r="B26" s="90" t="s">
        <v>1806</v>
      </c>
      <c r="C26" s="90">
        <v>7</v>
      </c>
      <c r="D26" s="114">
        <v>0.0034498288415227463</v>
      </c>
      <c r="E26" s="114">
        <v>2.1895526944064416</v>
      </c>
      <c r="F26" s="90" t="s">
        <v>2081</v>
      </c>
      <c r="G26" s="90" t="b">
        <v>0</v>
      </c>
      <c r="H26" s="90" t="b">
        <v>0</v>
      </c>
      <c r="I26" s="90" t="b">
        <v>0</v>
      </c>
      <c r="J26" s="90" t="b">
        <v>0</v>
      </c>
      <c r="K26" s="90" t="b">
        <v>0</v>
      </c>
      <c r="L26" s="90" t="b">
        <v>0</v>
      </c>
    </row>
    <row r="27" spans="1:12" ht="15">
      <c r="A27" s="87" t="s">
        <v>1496</v>
      </c>
      <c r="B27" s="90" t="s">
        <v>1800</v>
      </c>
      <c r="C27" s="90">
        <v>7</v>
      </c>
      <c r="D27" s="114">
        <v>0.0034498288415227463</v>
      </c>
      <c r="E27" s="114">
        <v>0.5739198958892053</v>
      </c>
      <c r="F27" s="90" t="s">
        <v>2081</v>
      </c>
      <c r="G27" s="90" t="b">
        <v>0</v>
      </c>
      <c r="H27" s="90" t="b">
        <v>0</v>
      </c>
      <c r="I27" s="90" t="b">
        <v>0</v>
      </c>
      <c r="J27" s="90" t="b">
        <v>0</v>
      </c>
      <c r="K27" s="90" t="b">
        <v>0</v>
      </c>
      <c r="L27" s="90" t="b">
        <v>0</v>
      </c>
    </row>
    <row r="28" spans="1:12" ht="15">
      <c r="A28" s="87" t="s">
        <v>1503</v>
      </c>
      <c r="B28" s="90" t="s">
        <v>1495</v>
      </c>
      <c r="C28" s="90">
        <v>7</v>
      </c>
      <c r="D28" s="114">
        <v>0.0034498288415227463</v>
      </c>
      <c r="E28" s="114">
        <v>0.41951933424497745</v>
      </c>
      <c r="F28" s="90" t="s">
        <v>2081</v>
      </c>
      <c r="G28" s="90" t="b">
        <v>0</v>
      </c>
      <c r="H28" s="90" t="b">
        <v>0</v>
      </c>
      <c r="I28" s="90" t="b">
        <v>0</v>
      </c>
      <c r="J28" s="90" t="b">
        <v>0</v>
      </c>
      <c r="K28" s="90" t="b">
        <v>0</v>
      </c>
      <c r="L28" s="90" t="b">
        <v>0</v>
      </c>
    </row>
    <row r="29" spans="1:12" ht="15">
      <c r="A29" s="87" t="s">
        <v>1497</v>
      </c>
      <c r="B29" s="90" t="s">
        <v>1794</v>
      </c>
      <c r="C29" s="90">
        <v>7</v>
      </c>
      <c r="D29" s="114">
        <v>0.0034498288415227463</v>
      </c>
      <c r="E29" s="114">
        <v>1.0310466101518732</v>
      </c>
      <c r="F29" s="90" t="s">
        <v>2081</v>
      </c>
      <c r="G29" s="90" t="b">
        <v>0</v>
      </c>
      <c r="H29" s="90" t="b">
        <v>0</v>
      </c>
      <c r="I29" s="90" t="b">
        <v>0</v>
      </c>
      <c r="J29" s="90" t="b">
        <v>0</v>
      </c>
      <c r="K29" s="90" t="b">
        <v>0</v>
      </c>
      <c r="L29" s="90" t="b">
        <v>0</v>
      </c>
    </row>
    <row r="30" spans="1:12" ht="15">
      <c r="A30" s="87" t="s">
        <v>1832</v>
      </c>
      <c r="B30" s="90" t="s">
        <v>1509</v>
      </c>
      <c r="C30" s="90">
        <v>7</v>
      </c>
      <c r="D30" s="114">
        <v>0.0034498288415227463</v>
      </c>
      <c r="E30" s="114">
        <v>2.541735212517804</v>
      </c>
      <c r="F30" s="90" t="s">
        <v>2081</v>
      </c>
      <c r="G30" s="90" t="b">
        <v>0</v>
      </c>
      <c r="H30" s="90" t="b">
        <v>0</v>
      </c>
      <c r="I30" s="90" t="b">
        <v>0</v>
      </c>
      <c r="J30" s="90" t="b">
        <v>0</v>
      </c>
      <c r="K30" s="90" t="b">
        <v>0</v>
      </c>
      <c r="L30" s="90" t="b">
        <v>0</v>
      </c>
    </row>
    <row r="31" spans="1:12" ht="15">
      <c r="A31" s="87" t="s">
        <v>1510</v>
      </c>
      <c r="B31" s="90" t="s">
        <v>273</v>
      </c>
      <c r="C31" s="90">
        <v>7</v>
      </c>
      <c r="D31" s="114">
        <v>0.0034498288415227463</v>
      </c>
      <c r="E31" s="114">
        <v>2.386833252532061</v>
      </c>
      <c r="F31" s="90" t="s">
        <v>2081</v>
      </c>
      <c r="G31" s="90" t="b">
        <v>0</v>
      </c>
      <c r="H31" s="90" t="b">
        <v>0</v>
      </c>
      <c r="I31" s="90" t="b">
        <v>0</v>
      </c>
      <c r="J31" s="90" t="b">
        <v>0</v>
      </c>
      <c r="K31" s="90" t="b">
        <v>0</v>
      </c>
      <c r="L31" s="90" t="b">
        <v>0</v>
      </c>
    </row>
    <row r="32" spans="1:12" ht="15">
      <c r="A32" s="87" t="s">
        <v>273</v>
      </c>
      <c r="B32" s="90" t="s">
        <v>1505</v>
      </c>
      <c r="C32" s="90">
        <v>7</v>
      </c>
      <c r="D32" s="114">
        <v>0.0034498288415227463</v>
      </c>
      <c r="E32" s="114">
        <v>2.0346507344206985</v>
      </c>
      <c r="F32" s="90" t="s">
        <v>2081</v>
      </c>
      <c r="G32" s="90" t="b">
        <v>0</v>
      </c>
      <c r="H32" s="90" t="b">
        <v>0</v>
      </c>
      <c r="I32" s="90" t="b">
        <v>0</v>
      </c>
      <c r="J32" s="90" t="b">
        <v>0</v>
      </c>
      <c r="K32" s="90" t="b">
        <v>0</v>
      </c>
      <c r="L32" s="90" t="b">
        <v>0</v>
      </c>
    </row>
    <row r="33" spans="1:12" ht="15">
      <c r="A33" s="87" t="s">
        <v>1505</v>
      </c>
      <c r="B33" s="90" t="s">
        <v>1826</v>
      </c>
      <c r="C33" s="90">
        <v>7</v>
      </c>
      <c r="D33" s="114">
        <v>0.0034498288415227463</v>
      </c>
      <c r="E33" s="114">
        <v>2.131560747428755</v>
      </c>
      <c r="F33" s="90" t="s">
        <v>2081</v>
      </c>
      <c r="G33" s="90" t="b">
        <v>0</v>
      </c>
      <c r="H33" s="90" t="b">
        <v>0</v>
      </c>
      <c r="I33" s="90" t="b">
        <v>0</v>
      </c>
      <c r="J33" s="90" t="b">
        <v>0</v>
      </c>
      <c r="K33" s="90" t="b">
        <v>0</v>
      </c>
      <c r="L33" s="90" t="b">
        <v>0</v>
      </c>
    </row>
    <row r="34" spans="1:12" ht="15">
      <c r="A34" s="87" t="s">
        <v>1827</v>
      </c>
      <c r="B34" s="90" t="s">
        <v>1833</v>
      </c>
      <c r="C34" s="90">
        <v>7</v>
      </c>
      <c r="D34" s="114">
        <v>0.0034498288415227463</v>
      </c>
      <c r="E34" s="114">
        <v>2.541735212517804</v>
      </c>
      <c r="F34" s="90" t="s">
        <v>2081</v>
      </c>
      <c r="G34" s="90" t="b">
        <v>0</v>
      </c>
      <c r="H34" s="90" t="b">
        <v>0</v>
      </c>
      <c r="I34" s="90" t="b">
        <v>0</v>
      </c>
      <c r="J34" s="90" t="b">
        <v>0</v>
      </c>
      <c r="K34" s="90" t="b">
        <v>0</v>
      </c>
      <c r="L34" s="90" t="b">
        <v>0</v>
      </c>
    </row>
    <row r="35" spans="1:12" ht="15">
      <c r="A35" s="87" t="s">
        <v>1833</v>
      </c>
      <c r="B35" s="90" t="s">
        <v>1507</v>
      </c>
      <c r="C35" s="90">
        <v>7</v>
      </c>
      <c r="D35" s="114">
        <v>0.0034498288415227463</v>
      </c>
      <c r="E35" s="114">
        <v>2.4034325143515227</v>
      </c>
      <c r="F35" s="90" t="s">
        <v>2081</v>
      </c>
      <c r="G35" s="90" t="b">
        <v>0</v>
      </c>
      <c r="H35" s="90" t="b">
        <v>0</v>
      </c>
      <c r="I35" s="90" t="b">
        <v>0</v>
      </c>
      <c r="J35" s="90" t="b">
        <v>0</v>
      </c>
      <c r="K35" s="90" t="b">
        <v>0</v>
      </c>
      <c r="L35" s="90" t="b">
        <v>0</v>
      </c>
    </row>
    <row r="36" spans="1:12" ht="15">
      <c r="A36" s="87" t="s">
        <v>1507</v>
      </c>
      <c r="B36" s="90" t="s">
        <v>1834</v>
      </c>
      <c r="C36" s="90">
        <v>7</v>
      </c>
      <c r="D36" s="114">
        <v>0.0034498288415227463</v>
      </c>
      <c r="E36" s="114">
        <v>2.4034325143515227</v>
      </c>
      <c r="F36" s="90" t="s">
        <v>2081</v>
      </c>
      <c r="G36" s="90" t="b">
        <v>0</v>
      </c>
      <c r="H36" s="90" t="b">
        <v>0</v>
      </c>
      <c r="I36" s="90" t="b">
        <v>0</v>
      </c>
      <c r="J36" s="90" t="b">
        <v>0</v>
      </c>
      <c r="K36" s="90" t="b">
        <v>0</v>
      </c>
      <c r="L36" s="90" t="b">
        <v>0</v>
      </c>
    </row>
    <row r="37" spans="1:12" ht="15">
      <c r="A37" s="87" t="s">
        <v>1834</v>
      </c>
      <c r="B37" s="90" t="s">
        <v>1828</v>
      </c>
      <c r="C37" s="90">
        <v>7</v>
      </c>
      <c r="D37" s="114">
        <v>0.0034498288415227463</v>
      </c>
      <c r="E37" s="114">
        <v>2.541735212517804</v>
      </c>
      <c r="F37" s="90" t="s">
        <v>2081</v>
      </c>
      <c r="G37" s="90" t="b">
        <v>0</v>
      </c>
      <c r="H37" s="90" t="b">
        <v>0</v>
      </c>
      <c r="I37" s="90" t="b">
        <v>0</v>
      </c>
      <c r="J37" s="90" t="b">
        <v>0</v>
      </c>
      <c r="K37" s="90" t="b">
        <v>0</v>
      </c>
      <c r="L37" s="90" t="b">
        <v>0</v>
      </c>
    </row>
    <row r="38" spans="1:12" ht="15">
      <c r="A38" s="87" t="s">
        <v>1828</v>
      </c>
      <c r="B38" s="90" t="s">
        <v>1522</v>
      </c>
      <c r="C38" s="90">
        <v>7</v>
      </c>
      <c r="D38" s="114">
        <v>0.0034498288415227463</v>
      </c>
      <c r="E38" s="114">
        <v>2.345440567373836</v>
      </c>
      <c r="F38" s="90" t="s">
        <v>2081</v>
      </c>
      <c r="G38" s="90" t="b">
        <v>0</v>
      </c>
      <c r="H38" s="90" t="b">
        <v>0</v>
      </c>
      <c r="I38" s="90" t="b">
        <v>0</v>
      </c>
      <c r="J38" s="90" t="b">
        <v>1</v>
      </c>
      <c r="K38" s="90" t="b">
        <v>0</v>
      </c>
      <c r="L38" s="90" t="b">
        <v>0</v>
      </c>
    </row>
    <row r="39" spans="1:12" ht="15">
      <c r="A39" s="87" t="s">
        <v>1522</v>
      </c>
      <c r="B39" s="90" t="s">
        <v>1821</v>
      </c>
      <c r="C39" s="90">
        <v>7</v>
      </c>
      <c r="D39" s="114">
        <v>0.0034498288415227463</v>
      </c>
      <c r="E39" s="114">
        <v>2.2942880449264544</v>
      </c>
      <c r="F39" s="90" t="s">
        <v>2081</v>
      </c>
      <c r="G39" s="90" t="b">
        <v>1</v>
      </c>
      <c r="H39" s="90" t="b">
        <v>0</v>
      </c>
      <c r="I39" s="90" t="b">
        <v>0</v>
      </c>
      <c r="J39" s="90" t="b">
        <v>0</v>
      </c>
      <c r="K39" s="90" t="b">
        <v>0</v>
      </c>
      <c r="L39" s="90" t="b">
        <v>0</v>
      </c>
    </row>
    <row r="40" spans="1:12" ht="15">
      <c r="A40" s="87" t="s">
        <v>1821</v>
      </c>
      <c r="B40" s="90" t="s">
        <v>1505</v>
      </c>
      <c r="C40" s="90">
        <v>7</v>
      </c>
      <c r="D40" s="114">
        <v>0.0034498288415227463</v>
      </c>
      <c r="E40" s="114">
        <v>2.080408224981374</v>
      </c>
      <c r="F40" s="90" t="s">
        <v>2081</v>
      </c>
      <c r="G40" s="90" t="b">
        <v>0</v>
      </c>
      <c r="H40" s="90" t="b">
        <v>0</v>
      </c>
      <c r="I40" s="90" t="b">
        <v>0</v>
      </c>
      <c r="J40" s="90" t="b">
        <v>0</v>
      </c>
      <c r="K40" s="90" t="b">
        <v>0</v>
      </c>
      <c r="L40" s="90" t="b">
        <v>0</v>
      </c>
    </row>
    <row r="41" spans="1:12" ht="15">
      <c r="A41" s="87" t="s">
        <v>1505</v>
      </c>
      <c r="B41" s="90" t="s">
        <v>1508</v>
      </c>
      <c r="C41" s="90">
        <v>7</v>
      </c>
      <c r="D41" s="114">
        <v>0.0034498288415227463</v>
      </c>
      <c r="E41" s="114">
        <v>2.0346507344206985</v>
      </c>
      <c r="F41" s="90" t="s">
        <v>2081</v>
      </c>
      <c r="G41" s="90" t="b">
        <v>0</v>
      </c>
      <c r="H41" s="90" t="b">
        <v>0</v>
      </c>
      <c r="I41" s="90" t="b">
        <v>0</v>
      </c>
      <c r="J41" s="90" t="b">
        <v>0</v>
      </c>
      <c r="K41" s="90" t="b">
        <v>0</v>
      </c>
      <c r="L41" s="90" t="b">
        <v>0</v>
      </c>
    </row>
    <row r="42" spans="1:12" ht="15">
      <c r="A42" s="87" t="s">
        <v>1508</v>
      </c>
      <c r="B42" s="90" t="s">
        <v>1835</v>
      </c>
      <c r="C42" s="90">
        <v>7</v>
      </c>
      <c r="D42" s="114">
        <v>0.0034498288415227463</v>
      </c>
      <c r="E42" s="114">
        <v>2.4448251995097476</v>
      </c>
      <c r="F42" s="90" t="s">
        <v>2081</v>
      </c>
      <c r="G42" s="90" t="b">
        <v>0</v>
      </c>
      <c r="H42" s="90" t="b">
        <v>0</v>
      </c>
      <c r="I42" s="90" t="b">
        <v>0</v>
      </c>
      <c r="J42" s="90" t="b">
        <v>0</v>
      </c>
      <c r="K42" s="90" t="b">
        <v>1</v>
      </c>
      <c r="L42" s="90" t="b">
        <v>0</v>
      </c>
    </row>
    <row r="43" spans="1:12" ht="15">
      <c r="A43" s="87" t="s">
        <v>1835</v>
      </c>
      <c r="B43" s="90" t="s">
        <v>1836</v>
      </c>
      <c r="C43" s="90">
        <v>7</v>
      </c>
      <c r="D43" s="114">
        <v>0.0034498288415227463</v>
      </c>
      <c r="E43" s="114">
        <v>2.5997271594954907</v>
      </c>
      <c r="F43" s="90" t="s">
        <v>2081</v>
      </c>
      <c r="G43" s="90" t="b">
        <v>0</v>
      </c>
      <c r="H43" s="90" t="b">
        <v>1</v>
      </c>
      <c r="I43" s="90" t="b">
        <v>0</v>
      </c>
      <c r="J43" s="90" t="b">
        <v>0</v>
      </c>
      <c r="K43" s="90" t="b">
        <v>0</v>
      </c>
      <c r="L43" s="90" t="b">
        <v>0</v>
      </c>
    </row>
    <row r="44" spans="1:12" ht="15">
      <c r="A44" s="87" t="s">
        <v>1836</v>
      </c>
      <c r="B44" s="90" t="s">
        <v>1837</v>
      </c>
      <c r="C44" s="90">
        <v>7</v>
      </c>
      <c r="D44" s="114">
        <v>0.0034498288415227463</v>
      </c>
      <c r="E44" s="114">
        <v>2.5997271594954907</v>
      </c>
      <c r="F44" s="90" t="s">
        <v>2081</v>
      </c>
      <c r="G44" s="90" t="b">
        <v>0</v>
      </c>
      <c r="H44" s="90" t="b">
        <v>0</v>
      </c>
      <c r="I44" s="90" t="b">
        <v>0</v>
      </c>
      <c r="J44" s="90" t="b">
        <v>0</v>
      </c>
      <c r="K44" s="90" t="b">
        <v>0</v>
      </c>
      <c r="L44" s="90" t="b">
        <v>0</v>
      </c>
    </row>
    <row r="45" spans="1:12" ht="15">
      <c r="A45" s="87" t="s">
        <v>1837</v>
      </c>
      <c r="B45" s="90" t="s">
        <v>1838</v>
      </c>
      <c r="C45" s="90">
        <v>7</v>
      </c>
      <c r="D45" s="114">
        <v>0.0034498288415227463</v>
      </c>
      <c r="E45" s="114">
        <v>2.5997271594954907</v>
      </c>
      <c r="F45" s="90" t="s">
        <v>2081</v>
      </c>
      <c r="G45" s="90" t="b">
        <v>0</v>
      </c>
      <c r="H45" s="90" t="b">
        <v>0</v>
      </c>
      <c r="I45" s="90" t="b">
        <v>0</v>
      </c>
      <c r="J45" s="90" t="b">
        <v>0</v>
      </c>
      <c r="K45" s="90" t="b">
        <v>0</v>
      </c>
      <c r="L45" s="90" t="b">
        <v>0</v>
      </c>
    </row>
    <row r="46" spans="1:12" ht="15">
      <c r="A46" s="87" t="s">
        <v>1838</v>
      </c>
      <c r="B46" s="90" t="s">
        <v>1839</v>
      </c>
      <c r="C46" s="90">
        <v>7</v>
      </c>
      <c r="D46" s="114">
        <v>0.0034498288415227463</v>
      </c>
      <c r="E46" s="114">
        <v>2.5997271594954907</v>
      </c>
      <c r="F46" s="90" t="s">
        <v>2081</v>
      </c>
      <c r="G46" s="90" t="b">
        <v>0</v>
      </c>
      <c r="H46" s="90" t="b">
        <v>0</v>
      </c>
      <c r="I46" s="90" t="b">
        <v>0</v>
      </c>
      <c r="J46" s="90" t="b">
        <v>0</v>
      </c>
      <c r="K46" s="90" t="b">
        <v>0</v>
      </c>
      <c r="L46" s="90" t="b">
        <v>0</v>
      </c>
    </row>
    <row r="47" spans="1:12" ht="15">
      <c r="A47" s="87" t="s">
        <v>1839</v>
      </c>
      <c r="B47" s="90" t="s">
        <v>1840</v>
      </c>
      <c r="C47" s="90">
        <v>7</v>
      </c>
      <c r="D47" s="114">
        <v>0.0034498288415227463</v>
      </c>
      <c r="E47" s="114">
        <v>2.5997271594954907</v>
      </c>
      <c r="F47" s="90" t="s">
        <v>2081</v>
      </c>
      <c r="G47" s="90" t="b">
        <v>0</v>
      </c>
      <c r="H47" s="90" t="b">
        <v>0</v>
      </c>
      <c r="I47" s="90" t="b">
        <v>0</v>
      </c>
      <c r="J47" s="90" t="b">
        <v>0</v>
      </c>
      <c r="K47" s="90" t="b">
        <v>0</v>
      </c>
      <c r="L47" s="90" t="b">
        <v>0</v>
      </c>
    </row>
    <row r="48" spans="1:12" ht="15">
      <c r="A48" s="87" t="s">
        <v>1840</v>
      </c>
      <c r="B48" s="90" t="s">
        <v>1841</v>
      </c>
      <c r="C48" s="90">
        <v>7</v>
      </c>
      <c r="D48" s="114">
        <v>0.0034498288415227463</v>
      </c>
      <c r="E48" s="114">
        <v>2.5997271594954907</v>
      </c>
      <c r="F48" s="90" t="s">
        <v>2081</v>
      </c>
      <c r="G48" s="90" t="b">
        <v>0</v>
      </c>
      <c r="H48" s="90" t="b">
        <v>0</v>
      </c>
      <c r="I48" s="90" t="b">
        <v>0</v>
      </c>
      <c r="J48" s="90" t="b">
        <v>0</v>
      </c>
      <c r="K48" s="90" t="b">
        <v>0</v>
      </c>
      <c r="L48" s="90" t="b">
        <v>0</v>
      </c>
    </row>
    <row r="49" spans="1:12" ht="15">
      <c r="A49" s="87" t="s">
        <v>1841</v>
      </c>
      <c r="B49" s="90" t="s">
        <v>1495</v>
      </c>
      <c r="C49" s="90">
        <v>7</v>
      </c>
      <c r="D49" s="114">
        <v>0.0034498288415227463</v>
      </c>
      <c r="E49" s="114">
        <v>1.1184893385809962</v>
      </c>
      <c r="F49" s="90" t="s">
        <v>2081</v>
      </c>
      <c r="G49" s="90" t="b">
        <v>0</v>
      </c>
      <c r="H49" s="90" t="b">
        <v>0</v>
      </c>
      <c r="I49" s="90" t="b">
        <v>0</v>
      </c>
      <c r="J49" s="90" t="b">
        <v>0</v>
      </c>
      <c r="K49" s="90" t="b">
        <v>0</v>
      </c>
      <c r="L49" s="90" t="b">
        <v>0</v>
      </c>
    </row>
    <row r="50" spans="1:12" ht="15">
      <c r="A50" s="87" t="s">
        <v>1496</v>
      </c>
      <c r="B50" s="90" t="s">
        <v>1842</v>
      </c>
      <c r="C50" s="90">
        <v>7</v>
      </c>
      <c r="D50" s="114">
        <v>0.0034498288415227463</v>
      </c>
      <c r="E50" s="114">
        <v>1.1267618645469861</v>
      </c>
      <c r="F50" s="90" t="s">
        <v>2081</v>
      </c>
      <c r="G50" s="90" t="b">
        <v>0</v>
      </c>
      <c r="H50" s="90" t="b">
        <v>0</v>
      </c>
      <c r="I50" s="90" t="b">
        <v>0</v>
      </c>
      <c r="J50" s="90" t="b">
        <v>0</v>
      </c>
      <c r="K50" s="90" t="b">
        <v>0</v>
      </c>
      <c r="L50" s="90" t="b">
        <v>0</v>
      </c>
    </row>
    <row r="51" spans="1:12" ht="15">
      <c r="A51" s="87" t="s">
        <v>1842</v>
      </c>
      <c r="B51" s="90" t="s">
        <v>1843</v>
      </c>
      <c r="C51" s="90">
        <v>7</v>
      </c>
      <c r="D51" s="114">
        <v>0.0034498288415227463</v>
      </c>
      <c r="E51" s="114">
        <v>2.5997271594954907</v>
      </c>
      <c r="F51" s="90" t="s">
        <v>2081</v>
      </c>
      <c r="G51" s="90" t="b">
        <v>0</v>
      </c>
      <c r="H51" s="90" t="b">
        <v>0</v>
      </c>
      <c r="I51" s="90" t="b">
        <v>0</v>
      </c>
      <c r="J51" s="90" t="b">
        <v>0</v>
      </c>
      <c r="K51" s="90" t="b">
        <v>0</v>
      </c>
      <c r="L51" s="90" t="b">
        <v>0</v>
      </c>
    </row>
    <row r="52" spans="1:12" ht="15">
      <c r="A52" s="87" t="s">
        <v>1843</v>
      </c>
      <c r="B52" s="90" t="s">
        <v>274</v>
      </c>
      <c r="C52" s="90">
        <v>7</v>
      </c>
      <c r="D52" s="114">
        <v>0.0034498288415227463</v>
      </c>
      <c r="E52" s="114">
        <v>2.2687339404540663</v>
      </c>
      <c r="F52" s="90" t="s">
        <v>2081</v>
      </c>
      <c r="G52" s="90" t="b">
        <v>0</v>
      </c>
      <c r="H52" s="90" t="b">
        <v>0</v>
      </c>
      <c r="I52" s="90" t="b">
        <v>0</v>
      </c>
      <c r="J52" s="90" t="b">
        <v>0</v>
      </c>
      <c r="K52" s="90" t="b">
        <v>0</v>
      </c>
      <c r="L52" s="90" t="b">
        <v>0</v>
      </c>
    </row>
    <row r="53" spans="1:12" ht="15">
      <c r="A53" s="87" t="s">
        <v>274</v>
      </c>
      <c r="B53" s="90" t="s">
        <v>1844</v>
      </c>
      <c r="C53" s="90">
        <v>7</v>
      </c>
      <c r="D53" s="114">
        <v>0.0034498288415227463</v>
      </c>
      <c r="E53" s="114">
        <v>2.5997271594954907</v>
      </c>
      <c r="F53" s="90" t="s">
        <v>2081</v>
      </c>
      <c r="G53" s="90" t="b">
        <v>0</v>
      </c>
      <c r="H53" s="90" t="b">
        <v>0</v>
      </c>
      <c r="I53" s="90" t="b">
        <v>0</v>
      </c>
      <c r="J53" s="90" t="b">
        <v>0</v>
      </c>
      <c r="K53" s="90" t="b">
        <v>0</v>
      </c>
      <c r="L53" s="90" t="b">
        <v>0</v>
      </c>
    </row>
    <row r="54" spans="1:12" ht="15">
      <c r="A54" s="87" t="s">
        <v>1844</v>
      </c>
      <c r="B54" s="90" t="s">
        <v>1845</v>
      </c>
      <c r="C54" s="90">
        <v>7</v>
      </c>
      <c r="D54" s="114">
        <v>0.0034498288415227463</v>
      </c>
      <c r="E54" s="114">
        <v>2.5997271594954907</v>
      </c>
      <c r="F54" s="90" t="s">
        <v>2081</v>
      </c>
      <c r="G54" s="90" t="b">
        <v>0</v>
      </c>
      <c r="H54" s="90" t="b">
        <v>0</v>
      </c>
      <c r="I54" s="90" t="b">
        <v>0</v>
      </c>
      <c r="J54" s="90" t="b">
        <v>0</v>
      </c>
      <c r="K54" s="90" t="b">
        <v>0</v>
      </c>
      <c r="L54" s="90" t="b">
        <v>0</v>
      </c>
    </row>
    <row r="55" spans="1:12" ht="15">
      <c r="A55" s="87" t="s">
        <v>1845</v>
      </c>
      <c r="B55" s="90" t="s">
        <v>1825</v>
      </c>
      <c r="C55" s="90">
        <v>7</v>
      </c>
      <c r="D55" s="114">
        <v>0.0034498288415227463</v>
      </c>
      <c r="E55" s="114">
        <v>2.541735212517804</v>
      </c>
      <c r="F55" s="90" t="s">
        <v>2081</v>
      </c>
      <c r="G55" s="90" t="b">
        <v>0</v>
      </c>
      <c r="H55" s="90" t="b">
        <v>0</v>
      </c>
      <c r="I55" s="90" t="b">
        <v>0</v>
      </c>
      <c r="J55" s="90" t="b">
        <v>0</v>
      </c>
      <c r="K55" s="90" t="b">
        <v>0</v>
      </c>
      <c r="L55" s="90" t="b">
        <v>0</v>
      </c>
    </row>
    <row r="56" spans="1:12" ht="15">
      <c r="A56" s="87" t="s">
        <v>1825</v>
      </c>
      <c r="B56" s="90" t="s">
        <v>1846</v>
      </c>
      <c r="C56" s="90">
        <v>7</v>
      </c>
      <c r="D56" s="114">
        <v>0.0034498288415227463</v>
      </c>
      <c r="E56" s="114">
        <v>2.541735212517804</v>
      </c>
      <c r="F56" s="90" t="s">
        <v>2081</v>
      </c>
      <c r="G56" s="90" t="b">
        <v>0</v>
      </c>
      <c r="H56" s="90" t="b">
        <v>0</v>
      </c>
      <c r="I56" s="90" t="b">
        <v>0</v>
      </c>
      <c r="J56" s="90" t="b">
        <v>0</v>
      </c>
      <c r="K56" s="90" t="b">
        <v>0</v>
      </c>
      <c r="L56" s="90" t="b">
        <v>0</v>
      </c>
    </row>
    <row r="57" spans="1:12" ht="15">
      <c r="A57" s="87" t="s">
        <v>1847</v>
      </c>
      <c r="B57" s="90" t="s">
        <v>1848</v>
      </c>
      <c r="C57" s="90">
        <v>7</v>
      </c>
      <c r="D57" s="114">
        <v>0.0034498288415227463</v>
      </c>
      <c r="E57" s="114">
        <v>2.5997271594954907</v>
      </c>
      <c r="F57" s="90" t="s">
        <v>2081</v>
      </c>
      <c r="G57" s="90" t="b">
        <v>1</v>
      </c>
      <c r="H57" s="90" t="b">
        <v>0</v>
      </c>
      <c r="I57" s="90" t="b">
        <v>0</v>
      </c>
      <c r="J57" s="90" t="b">
        <v>0</v>
      </c>
      <c r="K57" s="90" t="b">
        <v>0</v>
      </c>
      <c r="L57" s="90" t="b">
        <v>0</v>
      </c>
    </row>
    <row r="58" spans="1:12" ht="15">
      <c r="A58" s="87" t="s">
        <v>1848</v>
      </c>
      <c r="B58" s="90" t="s">
        <v>275</v>
      </c>
      <c r="C58" s="90">
        <v>7</v>
      </c>
      <c r="D58" s="114">
        <v>0.0034498288415227463</v>
      </c>
      <c r="E58" s="114">
        <v>2.5997271594954907</v>
      </c>
      <c r="F58" s="90" t="s">
        <v>2081</v>
      </c>
      <c r="G58" s="90" t="b">
        <v>0</v>
      </c>
      <c r="H58" s="90" t="b">
        <v>0</v>
      </c>
      <c r="I58" s="90" t="b">
        <v>0</v>
      </c>
      <c r="J58" s="90" t="b">
        <v>0</v>
      </c>
      <c r="K58" s="90" t="b">
        <v>0</v>
      </c>
      <c r="L58" s="90" t="b">
        <v>0</v>
      </c>
    </row>
    <row r="59" spans="1:12" ht="15">
      <c r="A59" s="87" t="s">
        <v>275</v>
      </c>
      <c r="B59" s="90" t="s">
        <v>1506</v>
      </c>
      <c r="C59" s="90">
        <v>7</v>
      </c>
      <c r="D59" s="114">
        <v>0.0034498288415227463</v>
      </c>
      <c r="E59" s="114">
        <v>2.2986971638315095</v>
      </c>
      <c r="F59" s="90" t="s">
        <v>2081</v>
      </c>
      <c r="G59" s="90" t="b">
        <v>0</v>
      </c>
      <c r="H59" s="90" t="b">
        <v>0</v>
      </c>
      <c r="I59" s="90" t="b">
        <v>0</v>
      </c>
      <c r="J59" s="90" t="b">
        <v>1</v>
      </c>
      <c r="K59" s="90" t="b">
        <v>0</v>
      </c>
      <c r="L59" s="90" t="b">
        <v>0</v>
      </c>
    </row>
    <row r="60" spans="1:12" ht="15">
      <c r="A60" s="87" t="s">
        <v>1506</v>
      </c>
      <c r="B60" s="90" t="s">
        <v>1495</v>
      </c>
      <c r="C60" s="90">
        <v>7</v>
      </c>
      <c r="D60" s="114">
        <v>0.0034498288415227463</v>
      </c>
      <c r="E60" s="114">
        <v>0.817459342917015</v>
      </c>
      <c r="F60" s="90" t="s">
        <v>2081</v>
      </c>
      <c r="G60" s="90" t="b">
        <v>1</v>
      </c>
      <c r="H60" s="90" t="b">
        <v>0</v>
      </c>
      <c r="I60" s="90" t="b">
        <v>0</v>
      </c>
      <c r="J60" s="90" t="b">
        <v>0</v>
      </c>
      <c r="K60" s="90" t="b">
        <v>0</v>
      </c>
      <c r="L60" s="90" t="b">
        <v>0</v>
      </c>
    </row>
    <row r="61" spans="1:12" ht="15">
      <c r="A61" s="87" t="s">
        <v>1496</v>
      </c>
      <c r="B61" s="90" t="s">
        <v>1849</v>
      </c>
      <c r="C61" s="90">
        <v>7</v>
      </c>
      <c r="D61" s="114">
        <v>0.0034498288415227463</v>
      </c>
      <c r="E61" s="114">
        <v>1.1267618645469861</v>
      </c>
      <c r="F61" s="90" t="s">
        <v>2081</v>
      </c>
      <c r="G61" s="90" t="b">
        <v>0</v>
      </c>
      <c r="H61" s="90" t="b">
        <v>0</v>
      </c>
      <c r="I61" s="90" t="b">
        <v>0</v>
      </c>
      <c r="J61" s="90" t="b">
        <v>0</v>
      </c>
      <c r="K61" s="90" t="b">
        <v>0</v>
      </c>
      <c r="L61" s="90" t="b">
        <v>0</v>
      </c>
    </row>
    <row r="62" spans="1:12" ht="15">
      <c r="A62" s="87" t="s">
        <v>1849</v>
      </c>
      <c r="B62" s="90" t="s">
        <v>1506</v>
      </c>
      <c r="C62" s="90">
        <v>7</v>
      </c>
      <c r="D62" s="114">
        <v>0.0034498288415227463</v>
      </c>
      <c r="E62" s="114">
        <v>2.2986971638315095</v>
      </c>
      <c r="F62" s="90" t="s">
        <v>2081</v>
      </c>
      <c r="G62" s="90" t="b">
        <v>0</v>
      </c>
      <c r="H62" s="90" t="b">
        <v>0</v>
      </c>
      <c r="I62" s="90" t="b">
        <v>0</v>
      </c>
      <c r="J62" s="90" t="b">
        <v>1</v>
      </c>
      <c r="K62" s="90" t="b">
        <v>0</v>
      </c>
      <c r="L62" s="90" t="b">
        <v>0</v>
      </c>
    </row>
    <row r="63" spans="1:12" ht="15">
      <c r="A63" s="87" t="s">
        <v>1506</v>
      </c>
      <c r="B63" s="90" t="s">
        <v>274</v>
      </c>
      <c r="C63" s="90">
        <v>7</v>
      </c>
      <c r="D63" s="114">
        <v>0.0034498288415227463</v>
      </c>
      <c r="E63" s="114">
        <v>1.9677039447900853</v>
      </c>
      <c r="F63" s="90" t="s">
        <v>2081</v>
      </c>
      <c r="G63" s="90" t="b">
        <v>1</v>
      </c>
      <c r="H63" s="90" t="b">
        <v>0</v>
      </c>
      <c r="I63" s="90" t="b">
        <v>0</v>
      </c>
      <c r="J63" s="90" t="b">
        <v>0</v>
      </c>
      <c r="K63" s="90" t="b">
        <v>0</v>
      </c>
      <c r="L63" s="90" t="b">
        <v>0</v>
      </c>
    </row>
    <row r="64" spans="1:12" ht="15">
      <c r="A64" s="87" t="s">
        <v>1819</v>
      </c>
      <c r="B64" s="90" t="s">
        <v>1816</v>
      </c>
      <c r="C64" s="90">
        <v>6</v>
      </c>
      <c r="D64" s="114">
        <v>0.003091202878170552</v>
      </c>
      <c r="E64" s="114">
        <v>2.2273412552958414</v>
      </c>
      <c r="F64" s="90" t="s">
        <v>2081</v>
      </c>
      <c r="G64" s="90" t="b">
        <v>0</v>
      </c>
      <c r="H64" s="90" t="b">
        <v>0</v>
      </c>
      <c r="I64" s="90" t="b">
        <v>0</v>
      </c>
      <c r="J64" s="90" t="b">
        <v>0</v>
      </c>
      <c r="K64" s="90" t="b">
        <v>0</v>
      </c>
      <c r="L64" s="90" t="b">
        <v>0</v>
      </c>
    </row>
    <row r="65" spans="1:12" ht="15">
      <c r="A65" s="87" t="s">
        <v>1500</v>
      </c>
      <c r="B65" s="90" t="s">
        <v>1495</v>
      </c>
      <c r="C65" s="90">
        <v>6</v>
      </c>
      <c r="D65" s="114">
        <v>0.003091202878170552</v>
      </c>
      <c r="E65" s="114">
        <v>0.3168569923478297</v>
      </c>
      <c r="F65" s="90" t="s">
        <v>2081</v>
      </c>
      <c r="G65" s="90" t="b">
        <v>0</v>
      </c>
      <c r="H65" s="90" t="b">
        <v>0</v>
      </c>
      <c r="I65" s="90" t="b">
        <v>0</v>
      </c>
      <c r="J65" s="90" t="b">
        <v>0</v>
      </c>
      <c r="K65" s="90" t="b">
        <v>0</v>
      </c>
      <c r="L65" s="90" t="b">
        <v>0</v>
      </c>
    </row>
    <row r="66" spans="1:12" ht="15">
      <c r="A66" s="87" t="s">
        <v>1800</v>
      </c>
      <c r="B66" s="90" t="s">
        <v>1495</v>
      </c>
      <c r="C66" s="90">
        <v>6</v>
      </c>
      <c r="D66" s="114">
        <v>0.003091202878170552</v>
      </c>
      <c r="E66" s="114">
        <v>0.4987005802926022</v>
      </c>
      <c r="F66" s="90" t="s">
        <v>2081</v>
      </c>
      <c r="G66" s="90" t="b">
        <v>0</v>
      </c>
      <c r="H66" s="90" t="b">
        <v>0</v>
      </c>
      <c r="I66" s="90" t="b">
        <v>0</v>
      </c>
      <c r="J66" s="90" t="b">
        <v>0</v>
      </c>
      <c r="K66" s="90" t="b">
        <v>0</v>
      </c>
      <c r="L66" s="90" t="b">
        <v>0</v>
      </c>
    </row>
    <row r="67" spans="1:12" ht="15">
      <c r="A67" s="87" t="s">
        <v>1803</v>
      </c>
      <c r="B67" s="90" t="s">
        <v>1495</v>
      </c>
      <c r="C67" s="90">
        <v>5</v>
      </c>
      <c r="D67" s="114">
        <v>0.002708279789133036</v>
      </c>
      <c r="E67" s="114">
        <v>0.47503666209480877</v>
      </c>
      <c r="F67" s="90" t="s">
        <v>2081</v>
      </c>
      <c r="G67" s="90" t="b">
        <v>0</v>
      </c>
      <c r="H67" s="90" t="b">
        <v>0</v>
      </c>
      <c r="I67" s="90" t="b">
        <v>0</v>
      </c>
      <c r="J67" s="90" t="b">
        <v>0</v>
      </c>
      <c r="K67" s="90" t="b">
        <v>0</v>
      </c>
      <c r="L67" s="90" t="b">
        <v>0</v>
      </c>
    </row>
    <row r="68" spans="1:12" ht="15">
      <c r="A68" s="87" t="s">
        <v>1496</v>
      </c>
      <c r="B68" s="90" t="s">
        <v>1812</v>
      </c>
      <c r="C68" s="90">
        <v>5</v>
      </c>
      <c r="D68" s="114">
        <v>0.002708279789133036</v>
      </c>
      <c r="E68" s="114">
        <v>0.78433918372478</v>
      </c>
      <c r="F68" s="90" t="s">
        <v>2081</v>
      </c>
      <c r="G68" s="90" t="b">
        <v>0</v>
      </c>
      <c r="H68" s="90" t="b">
        <v>0</v>
      </c>
      <c r="I68" s="90" t="b">
        <v>0</v>
      </c>
      <c r="J68" s="90" t="b">
        <v>0</v>
      </c>
      <c r="K68" s="90" t="b">
        <v>0</v>
      </c>
      <c r="L68" s="90" t="b">
        <v>0</v>
      </c>
    </row>
    <row r="69" spans="1:12" ht="15">
      <c r="A69" s="87" t="s">
        <v>1499</v>
      </c>
      <c r="B69" s="90" t="s">
        <v>539</v>
      </c>
      <c r="C69" s="90">
        <v>5</v>
      </c>
      <c r="D69" s="114">
        <v>0.002708279789133036</v>
      </c>
      <c r="E69" s="114">
        <v>0.7997961347886052</v>
      </c>
      <c r="F69" s="90" t="s">
        <v>2081</v>
      </c>
      <c r="G69" s="90" t="b">
        <v>0</v>
      </c>
      <c r="H69" s="90" t="b">
        <v>0</v>
      </c>
      <c r="I69" s="90" t="b">
        <v>0</v>
      </c>
      <c r="J69" s="90" t="b">
        <v>0</v>
      </c>
      <c r="K69" s="90" t="b">
        <v>0</v>
      </c>
      <c r="L69" s="90" t="b">
        <v>0</v>
      </c>
    </row>
    <row r="70" spans="1:12" ht="15">
      <c r="A70" s="87" t="s">
        <v>1860</v>
      </c>
      <c r="B70" s="90" t="s">
        <v>1495</v>
      </c>
      <c r="C70" s="90">
        <v>5</v>
      </c>
      <c r="D70" s="114">
        <v>0.002708279789133036</v>
      </c>
      <c r="E70" s="114">
        <v>1.1184893385809962</v>
      </c>
      <c r="F70" s="90" t="s">
        <v>2081</v>
      </c>
      <c r="G70" s="90" t="b">
        <v>0</v>
      </c>
      <c r="H70" s="90" t="b">
        <v>0</v>
      </c>
      <c r="I70" s="90" t="b">
        <v>0</v>
      </c>
      <c r="J70" s="90" t="b">
        <v>0</v>
      </c>
      <c r="K70" s="90" t="b">
        <v>0</v>
      </c>
      <c r="L70" s="90" t="b">
        <v>0</v>
      </c>
    </row>
    <row r="71" spans="1:12" ht="15">
      <c r="A71" s="87" t="s">
        <v>1496</v>
      </c>
      <c r="B71" s="90" t="s">
        <v>1815</v>
      </c>
      <c r="C71" s="90">
        <v>5</v>
      </c>
      <c r="D71" s="114">
        <v>0.002708279789133036</v>
      </c>
      <c r="E71" s="114">
        <v>0.825731868883005</v>
      </c>
      <c r="F71" s="90" t="s">
        <v>2081</v>
      </c>
      <c r="G71" s="90" t="b">
        <v>0</v>
      </c>
      <c r="H71" s="90" t="b">
        <v>0</v>
      </c>
      <c r="I71" s="90" t="b">
        <v>0</v>
      </c>
      <c r="J71" s="90" t="b">
        <v>0</v>
      </c>
      <c r="K71" s="90" t="b">
        <v>0</v>
      </c>
      <c r="L71" s="90" t="b">
        <v>0</v>
      </c>
    </row>
    <row r="72" spans="1:12" ht="15">
      <c r="A72" s="87" t="s">
        <v>1498</v>
      </c>
      <c r="B72" s="90" t="s">
        <v>1795</v>
      </c>
      <c r="C72" s="90">
        <v>5</v>
      </c>
      <c r="D72" s="114">
        <v>0.002708279789133036</v>
      </c>
      <c r="E72" s="114">
        <v>0.9622374299829802</v>
      </c>
      <c r="F72" s="90" t="s">
        <v>2081</v>
      </c>
      <c r="G72" s="90" t="b">
        <v>0</v>
      </c>
      <c r="H72" s="90" t="b">
        <v>1</v>
      </c>
      <c r="I72" s="90" t="b">
        <v>0</v>
      </c>
      <c r="J72" s="90" t="b">
        <v>0</v>
      </c>
      <c r="K72" s="90" t="b">
        <v>0</v>
      </c>
      <c r="L72" s="90" t="b">
        <v>0</v>
      </c>
    </row>
    <row r="73" spans="1:12" ht="15">
      <c r="A73" s="87" t="s">
        <v>1496</v>
      </c>
      <c r="B73" s="90" t="s">
        <v>1810</v>
      </c>
      <c r="C73" s="90">
        <v>5</v>
      </c>
      <c r="D73" s="114">
        <v>0.002708279789133036</v>
      </c>
      <c r="E73" s="114">
        <v>0.679603833204767</v>
      </c>
      <c r="F73" s="90" t="s">
        <v>2081</v>
      </c>
      <c r="G73" s="90" t="b">
        <v>0</v>
      </c>
      <c r="H73" s="90" t="b">
        <v>0</v>
      </c>
      <c r="I73" s="90" t="b">
        <v>0</v>
      </c>
      <c r="J73" s="90" t="b">
        <v>0</v>
      </c>
      <c r="K73" s="90" t="b">
        <v>0</v>
      </c>
      <c r="L73" s="90" t="b">
        <v>0</v>
      </c>
    </row>
    <row r="74" spans="1:12" ht="15">
      <c r="A74" s="87" t="s">
        <v>1823</v>
      </c>
      <c r="B74" s="90" t="s">
        <v>1806</v>
      </c>
      <c r="C74" s="90">
        <v>5</v>
      </c>
      <c r="D74" s="114">
        <v>0.002708279789133036</v>
      </c>
      <c r="E74" s="114">
        <v>2.1525691281532717</v>
      </c>
      <c r="F74" s="90" t="s">
        <v>2081</v>
      </c>
      <c r="G74" s="90" t="b">
        <v>0</v>
      </c>
      <c r="H74" s="90" t="b">
        <v>0</v>
      </c>
      <c r="I74" s="90" t="b">
        <v>0</v>
      </c>
      <c r="J74" s="90" t="b">
        <v>0</v>
      </c>
      <c r="K74" s="90" t="b">
        <v>0</v>
      </c>
      <c r="L74" s="90" t="b">
        <v>0</v>
      </c>
    </row>
    <row r="75" spans="1:12" ht="15">
      <c r="A75" s="87" t="s">
        <v>1503</v>
      </c>
      <c r="B75" s="90" t="s">
        <v>1793</v>
      </c>
      <c r="C75" s="90">
        <v>4</v>
      </c>
      <c r="D75" s="114">
        <v>0.002296139384942321</v>
      </c>
      <c r="E75" s="114">
        <v>0.984303206609547</v>
      </c>
      <c r="F75" s="90" t="s">
        <v>2081</v>
      </c>
      <c r="G75" s="90" t="b">
        <v>0</v>
      </c>
      <c r="H75" s="90" t="b">
        <v>0</v>
      </c>
      <c r="I75" s="90" t="b">
        <v>0</v>
      </c>
      <c r="J75" s="90" t="b">
        <v>0</v>
      </c>
      <c r="K75" s="90" t="b">
        <v>0</v>
      </c>
      <c r="L75" s="90" t="b">
        <v>0</v>
      </c>
    </row>
    <row r="76" spans="1:12" ht="15">
      <c r="A76" s="87" t="s">
        <v>1500</v>
      </c>
      <c r="B76" s="90" t="s">
        <v>1500</v>
      </c>
      <c r="C76" s="90">
        <v>4</v>
      </c>
      <c r="D76" s="114">
        <v>0.002296139384942321</v>
      </c>
      <c r="E76" s="114">
        <v>0.8336331386413135</v>
      </c>
      <c r="F76" s="90" t="s">
        <v>2081</v>
      </c>
      <c r="G76" s="90" t="b">
        <v>0</v>
      </c>
      <c r="H76" s="90" t="b">
        <v>0</v>
      </c>
      <c r="I76" s="90" t="b">
        <v>0</v>
      </c>
      <c r="J76" s="90" t="b">
        <v>0</v>
      </c>
      <c r="K76" s="90" t="b">
        <v>0</v>
      </c>
      <c r="L76" s="90" t="b">
        <v>0</v>
      </c>
    </row>
    <row r="77" spans="1:12" ht="15">
      <c r="A77" s="87" t="s">
        <v>1500</v>
      </c>
      <c r="B77" s="90" t="s">
        <v>1501</v>
      </c>
      <c r="C77" s="90">
        <v>4</v>
      </c>
      <c r="D77" s="114">
        <v>0.002296139384942321</v>
      </c>
      <c r="E77" s="114">
        <v>0.8650416028929375</v>
      </c>
      <c r="F77" s="90" t="s">
        <v>2081</v>
      </c>
      <c r="G77" s="90" t="b">
        <v>0</v>
      </c>
      <c r="H77" s="90" t="b">
        <v>0</v>
      </c>
      <c r="I77" s="90" t="b">
        <v>0</v>
      </c>
      <c r="J77" s="90" t="b">
        <v>0</v>
      </c>
      <c r="K77" s="90" t="b">
        <v>0</v>
      </c>
      <c r="L77" s="90" t="b">
        <v>0</v>
      </c>
    </row>
    <row r="78" spans="1:12" ht="15">
      <c r="A78" s="87" t="s">
        <v>1793</v>
      </c>
      <c r="B78" s="90" t="s">
        <v>1499</v>
      </c>
      <c r="C78" s="90">
        <v>4</v>
      </c>
      <c r="D78" s="114">
        <v>0.002296139384942321</v>
      </c>
      <c r="E78" s="114">
        <v>0.8433084158597375</v>
      </c>
      <c r="F78" s="90" t="s">
        <v>2081</v>
      </c>
      <c r="G78" s="90" t="b">
        <v>0</v>
      </c>
      <c r="H78" s="90" t="b">
        <v>0</v>
      </c>
      <c r="I78" s="90" t="b">
        <v>0</v>
      </c>
      <c r="J78" s="90" t="b">
        <v>0</v>
      </c>
      <c r="K78" s="90" t="b">
        <v>0</v>
      </c>
      <c r="L78" s="90" t="b">
        <v>0</v>
      </c>
    </row>
    <row r="79" spans="1:12" ht="15">
      <c r="A79" s="87" t="s">
        <v>1499</v>
      </c>
      <c r="B79" s="90" t="s">
        <v>1499</v>
      </c>
      <c r="C79" s="90">
        <v>4</v>
      </c>
      <c r="D79" s="114">
        <v>0.002296139384942321</v>
      </c>
      <c r="E79" s="114">
        <v>0.6935460955264054</v>
      </c>
      <c r="F79" s="90" t="s">
        <v>2081</v>
      </c>
      <c r="G79" s="90" t="b">
        <v>0</v>
      </c>
      <c r="H79" s="90" t="b">
        <v>0</v>
      </c>
      <c r="I79" s="90" t="b">
        <v>0</v>
      </c>
      <c r="J79" s="90" t="b">
        <v>0</v>
      </c>
      <c r="K79" s="90" t="b">
        <v>0</v>
      </c>
      <c r="L79" s="90" t="b">
        <v>0</v>
      </c>
    </row>
    <row r="80" spans="1:12" ht="15">
      <c r="A80" s="87" t="s">
        <v>1794</v>
      </c>
      <c r="B80" s="90" t="s">
        <v>1495</v>
      </c>
      <c r="C80" s="90">
        <v>4</v>
      </c>
      <c r="D80" s="114">
        <v>0.002296139384942321</v>
      </c>
      <c r="E80" s="114">
        <v>0.21539935158905263</v>
      </c>
      <c r="F80" s="90" t="s">
        <v>2081</v>
      </c>
      <c r="G80" s="90" t="b">
        <v>0</v>
      </c>
      <c r="H80" s="90" t="b">
        <v>0</v>
      </c>
      <c r="I80" s="90" t="b">
        <v>0</v>
      </c>
      <c r="J80" s="90" t="b">
        <v>0</v>
      </c>
      <c r="K80" s="90" t="b">
        <v>0</v>
      </c>
      <c r="L80" s="90" t="b">
        <v>0</v>
      </c>
    </row>
    <row r="81" spans="1:12" ht="15">
      <c r="A81" s="87" t="s">
        <v>1497</v>
      </c>
      <c r="B81" s="90" t="s">
        <v>1799</v>
      </c>
      <c r="C81" s="90">
        <v>4</v>
      </c>
      <c r="D81" s="114">
        <v>0.002296139384942321</v>
      </c>
      <c r="E81" s="114">
        <v>0.8915491533726484</v>
      </c>
      <c r="F81" s="90" t="s">
        <v>2081</v>
      </c>
      <c r="G81" s="90" t="b">
        <v>0</v>
      </c>
      <c r="H81" s="90" t="b">
        <v>0</v>
      </c>
      <c r="I81" s="90" t="b">
        <v>0</v>
      </c>
      <c r="J81" s="90" t="b">
        <v>0</v>
      </c>
      <c r="K81" s="90" t="b">
        <v>0</v>
      </c>
      <c r="L81" s="90" t="b">
        <v>0</v>
      </c>
    </row>
    <row r="82" spans="1:12" ht="15">
      <c r="A82" s="87" t="s">
        <v>1496</v>
      </c>
      <c r="B82" s="90" t="s">
        <v>1501</v>
      </c>
      <c r="C82" s="90">
        <v>4</v>
      </c>
      <c r="D82" s="114">
        <v>0.002296139384942321</v>
      </c>
      <c r="E82" s="114">
        <v>0.12676186454698615</v>
      </c>
      <c r="F82" s="90" t="s">
        <v>2081</v>
      </c>
      <c r="G82" s="90" t="b">
        <v>0</v>
      </c>
      <c r="H82" s="90" t="b">
        <v>0</v>
      </c>
      <c r="I82" s="90" t="b">
        <v>0</v>
      </c>
      <c r="J82" s="90" t="b">
        <v>0</v>
      </c>
      <c r="K82" s="90" t="b">
        <v>0</v>
      </c>
      <c r="L82" s="90" t="b">
        <v>0</v>
      </c>
    </row>
    <row r="83" spans="1:12" ht="15">
      <c r="A83" s="87" t="s">
        <v>1806</v>
      </c>
      <c r="B83" s="90" t="s">
        <v>1495</v>
      </c>
      <c r="C83" s="90">
        <v>4</v>
      </c>
      <c r="D83" s="114">
        <v>0.002296139384942321</v>
      </c>
      <c r="E83" s="114">
        <v>0.5164293472530338</v>
      </c>
      <c r="F83" s="90" t="s">
        <v>2081</v>
      </c>
      <c r="G83" s="90" t="b">
        <v>0</v>
      </c>
      <c r="H83" s="90" t="b">
        <v>0</v>
      </c>
      <c r="I83" s="90" t="b">
        <v>0</v>
      </c>
      <c r="J83" s="90" t="b">
        <v>0</v>
      </c>
      <c r="K83" s="90" t="b">
        <v>0</v>
      </c>
      <c r="L83" s="90" t="b">
        <v>0</v>
      </c>
    </row>
    <row r="84" spans="1:12" ht="15">
      <c r="A84" s="87" t="s">
        <v>1803</v>
      </c>
      <c r="B84" s="90" t="s">
        <v>1795</v>
      </c>
      <c r="C84" s="90">
        <v>4</v>
      </c>
      <c r="D84" s="114">
        <v>0.002296139384942321</v>
      </c>
      <c r="E84" s="114">
        <v>1.2131008161812311</v>
      </c>
      <c r="F84" s="90" t="s">
        <v>2081</v>
      </c>
      <c r="G84" s="90" t="b">
        <v>0</v>
      </c>
      <c r="H84" s="90" t="b">
        <v>0</v>
      </c>
      <c r="I84" s="90" t="b">
        <v>0</v>
      </c>
      <c r="J84" s="90" t="b">
        <v>0</v>
      </c>
      <c r="K84" s="90" t="b">
        <v>0</v>
      </c>
      <c r="L84" s="90" t="b">
        <v>0</v>
      </c>
    </row>
    <row r="85" spans="1:12" ht="15">
      <c r="A85" s="87" t="s">
        <v>1799</v>
      </c>
      <c r="B85" s="90" t="s">
        <v>1801</v>
      </c>
      <c r="C85" s="90">
        <v>4</v>
      </c>
      <c r="D85" s="114">
        <v>0.002296139384942321</v>
      </c>
      <c r="E85" s="114">
        <v>1.2687339404540665</v>
      </c>
      <c r="F85" s="90" t="s">
        <v>2081</v>
      </c>
      <c r="G85" s="90" t="b">
        <v>0</v>
      </c>
      <c r="H85" s="90" t="b">
        <v>0</v>
      </c>
      <c r="I85" s="90" t="b">
        <v>0</v>
      </c>
      <c r="J85" s="90" t="b">
        <v>0</v>
      </c>
      <c r="K85" s="90" t="b">
        <v>0</v>
      </c>
      <c r="L85" s="90" t="b">
        <v>0</v>
      </c>
    </row>
    <row r="86" spans="1:12" ht="15">
      <c r="A86" s="87" t="s">
        <v>1795</v>
      </c>
      <c r="B86" s="90" t="s">
        <v>1795</v>
      </c>
      <c r="C86" s="90">
        <v>4</v>
      </c>
      <c r="D86" s="114">
        <v>0.0026984514406242204</v>
      </c>
      <c r="E86" s="114">
        <v>1.0503735186835315</v>
      </c>
      <c r="F86" s="90" t="s">
        <v>2081</v>
      </c>
      <c r="G86" s="90" t="b">
        <v>0</v>
      </c>
      <c r="H86" s="90" t="b">
        <v>0</v>
      </c>
      <c r="I86" s="90" t="b">
        <v>0</v>
      </c>
      <c r="J86" s="90" t="b">
        <v>0</v>
      </c>
      <c r="K86" s="90" t="b">
        <v>0</v>
      </c>
      <c r="L86" s="90" t="b">
        <v>0</v>
      </c>
    </row>
    <row r="87" spans="1:12" ht="15">
      <c r="A87" s="87" t="s">
        <v>1794</v>
      </c>
      <c r="B87" s="90" t="s">
        <v>1804</v>
      </c>
      <c r="C87" s="90">
        <v>4</v>
      </c>
      <c r="D87" s="114">
        <v>0.002296139384942321</v>
      </c>
      <c r="E87" s="114">
        <v>1.2195159177838848</v>
      </c>
      <c r="F87" s="90" t="s">
        <v>2081</v>
      </c>
      <c r="G87" s="90" t="b">
        <v>0</v>
      </c>
      <c r="H87" s="90" t="b">
        <v>0</v>
      </c>
      <c r="I87" s="90" t="b">
        <v>0</v>
      </c>
      <c r="J87" s="90" t="b">
        <v>0</v>
      </c>
      <c r="K87" s="90" t="b">
        <v>0</v>
      </c>
      <c r="L87" s="90" t="b">
        <v>0</v>
      </c>
    </row>
    <row r="88" spans="1:12" ht="15">
      <c r="A88" s="87" t="s">
        <v>1864</v>
      </c>
      <c r="B88" s="90" t="s">
        <v>1799</v>
      </c>
      <c r="C88" s="90">
        <v>4</v>
      </c>
      <c r="D88" s="114">
        <v>0.002296139384942321</v>
      </c>
      <c r="E88" s="114">
        <v>1.9329418385308734</v>
      </c>
      <c r="F88" s="90" t="s">
        <v>2081</v>
      </c>
      <c r="G88" s="90" t="b">
        <v>0</v>
      </c>
      <c r="H88" s="90" t="b">
        <v>0</v>
      </c>
      <c r="I88" s="90" t="b">
        <v>0</v>
      </c>
      <c r="J88" s="90" t="b">
        <v>0</v>
      </c>
      <c r="K88" s="90" t="b">
        <v>0</v>
      </c>
      <c r="L88" s="90" t="b">
        <v>0</v>
      </c>
    </row>
    <row r="89" spans="1:12" ht="15">
      <c r="A89" s="87" t="s">
        <v>1496</v>
      </c>
      <c r="B89" s="90" t="s">
        <v>1801</v>
      </c>
      <c r="C89" s="90">
        <v>4</v>
      </c>
      <c r="D89" s="114">
        <v>0.002296139384942321</v>
      </c>
      <c r="E89" s="114">
        <v>0.3486106141633426</v>
      </c>
      <c r="F89" s="90" t="s">
        <v>2081</v>
      </c>
      <c r="G89" s="90" t="b">
        <v>0</v>
      </c>
      <c r="H89" s="90" t="b">
        <v>0</v>
      </c>
      <c r="I89" s="90" t="b">
        <v>0</v>
      </c>
      <c r="J89" s="90" t="b">
        <v>0</v>
      </c>
      <c r="K89" s="90" t="b">
        <v>0</v>
      </c>
      <c r="L89" s="90" t="b">
        <v>0</v>
      </c>
    </row>
    <row r="90" spans="1:12" ht="15">
      <c r="A90" s="87" t="s">
        <v>1519</v>
      </c>
      <c r="B90" s="90" t="s">
        <v>1495</v>
      </c>
      <c r="C90" s="90">
        <v>4</v>
      </c>
      <c r="D90" s="114">
        <v>0.002296139384942321</v>
      </c>
      <c r="E90" s="114">
        <v>0.9423980795253151</v>
      </c>
      <c r="F90" s="90" t="s">
        <v>2081</v>
      </c>
      <c r="G90" s="90" t="b">
        <v>0</v>
      </c>
      <c r="H90" s="90" t="b">
        <v>0</v>
      </c>
      <c r="I90" s="90" t="b">
        <v>0</v>
      </c>
      <c r="J90" s="90" t="b">
        <v>0</v>
      </c>
      <c r="K90" s="90" t="b">
        <v>0</v>
      </c>
      <c r="L90" s="90" t="b">
        <v>0</v>
      </c>
    </row>
    <row r="91" spans="1:12" ht="15">
      <c r="A91" s="87" t="s">
        <v>1496</v>
      </c>
      <c r="B91" s="90" t="s">
        <v>1520</v>
      </c>
      <c r="C91" s="90">
        <v>4</v>
      </c>
      <c r="D91" s="114">
        <v>0.002296139384942321</v>
      </c>
      <c r="E91" s="114">
        <v>1.1267618645469861</v>
      </c>
      <c r="F91" s="90" t="s">
        <v>2081</v>
      </c>
      <c r="G91" s="90" t="b">
        <v>0</v>
      </c>
      <c r="H91" s="90" t="b">
        <v>0</v>
      </c>
      <c r="I91" s="90" t="b">
        <v>0</v>
      </c>
      <c r="J91" s="90" t="b">
        <v>0</v>
      </c>
      <c r="K91" s="90" t="b">
        <v>0</v>
      </c>
      <c r="L91" s="90" t="b">
        <v>0</v>
      </c>
    </row>
    <row r="92" spans="1:12" ht="15">
      <c r="A92" s="87" t="s">
        <v>1520</v>
      </c>
      <c r="B92" s="90" t="s">
        <v>1521</v>
      </c>
      <c r="C92" s="90">
        <v>4</v>
      </c>
      <c r="D92" s="114">
        <v>0.002296139384942321</v>
      </c>
      <c r="E92" s="114">
        <v>2.842765208181785</v>
      </c>
      <c r="F92" s="90" t="s">
        <v>2081</v>
      </c>
      <c r="G92" s="90" t="b">
        <v>0</v>
      </c>
      <c r="H92" s="90" t="b">
        <v>0</v>
      </c>
      <c r="I92" s="90" t="b">
        <v>0</v>
      </c>
      <c r="J92" s="90" t="b">
        <v>0</v>
      </c>
      <c r="K92" s="90" t="b">
        <v>0</v>
      </c>
      <c r="L92" s="90" t="b">
        <v>0</v>
      </c>
    </row>
    <row r="93" spans="1:12" ht="15">
      <c r="A93" s="87" t="s">
        <v>1521</v>
      </c>
      <c r="B93" s="90" t="s">
        <v>1522</v>
      </c>
      <c r="C93" s="90">
        <v>4</v>
      </c>
      <c r="D93" s="114">
        <v>0.002296139384942321</v>
      </c>
      <c r="E93" s="114">
        <v>2.4034325143515227</v>
      </c>
      <c r="F93" s="90" t="s">
        <v>2081</v>
      </c>
      <c r="G93" s="90" t="b">
        <v>0</v>
      </c>
      <c r="H93" s="90" t="b">
        <v>0</v>
      </c>
      <c r="I93" s="90" t="b">
        <v>0</v>
      </c>
      <c r="J93" s="90" t="b">
        <v>1</v>
      </c>
      <c r="K93" s="90" t="b">
        <v>0</v>
      </c>
      <c r="L93" s="90" t="b">
        <v>0</v>
      </c>
    </row>
    <row r="94" spans="1:12" ht="15">
      <c r="A94" s="87" t="s">
        <v>1522</v>
      </c>
      <c r="B94" s="90" t="s">
        <v>1475</v>
      </c>
      <c r="C94" s="90">
        <v>4</v>
      </c>
      <c r="D94" s="114">
        <v>0.002296139384942321</v>
      </c>
      <c r="E94" s="114">
        <v>2.306522501343466</v>
      </c>
      <c r="F94" s="90" t="s">
        <v>2081</v>
      </c>
      <c r="G94" s="90" t="b">
        <v>1</v>
      </c>
      <c r="H94" s="90" t="b">
        <v>0</v>
      </c>
      <c r="I94" s="90" t="b">
        <v>0</v>
      </c>
      <c r="J94" s="90" t="b">
        <v>0</v>
      </c>
      <c r="K94" s="90" t="b">
        <v>0</v>
      </c>
      <c r="L94" s="90" t="b">
        <v>0</v>
      </c>
    </row>
    <row r="95" spans="1:12" ht="15">
      <c r="A95" s="87" t="s">
        <v>1475</v>
      </c>
      <c r="B95" s="90" t="s">
        <v>1523</v>
      </c>
      <c r="C95" s="90">
        <v>4</v>
      </c>
      <c r="D95" s="114">
        <v>0.002296139384942321</v>
      </c>
      <c r="E95" s="114">
        <v>2.5417352125178043</v>
      </c>
      <c r="F95" s="90" t="s">
        <v>2081</v>
      </c>
      <c r="G95" s="90" t="b">
        <v>0</v>
      </c>
      <c r="H95" s="90" t="b">
        <v>0</v>
      </c>
      <c r="I95" s="90" t="b">
        <v>0</v>
      </c>
      <c r="J95" s="90" t="b">
        <v>0</v>
      </c>
      <c r="K95" s="90" t="b">
        <v>0</v>
      </c>
      <c r="L95" s="90" t="b">
        <v>0</v>
      </c>
    </row>
    <row r="96" spans="1:12" ht="15">
      <c r="A96" s="87" t="s">
        <v>1523</v>
      </c>
      <c r="B96" s="90" t="s">
        <v>1524</v>
      </c>
      <c r="C96" s="90">
        <v>4</v>
      </c>
      <c r="D96" s="114">
        <v>0.002296139384942321</v>
      </c>
      <c r="E96" s="114">
        <v>2.5997271594954907</v>
      </c>
      <c r="F96" s="90" t="s">
        <v>2081</v>
      </c>
      <c r="G96" s="90" t="b">
        <v>0</v>
      </c>
      <c r="H96" s="90" t="b">
        <v>0</v>
      </c>
      <c r="I96" s="90" t="b">
        <v>0</v>
      </c>
      <c r="J96" s="90" t="b">
        <v>0</v>
      </c>
      <c r="K96" s="90" t="b">
        <v>0</v>
      </c>
      <c r="L96" s="90" t="b">
        <v>0</v>
      </c>
    </row>
    <row r="97" spans="1:12" ht="15">
      <c r="A97" s="87" t="s">
        <v>1524</v>
      </c>
      <c r="B97" s="90" t="s">
        <v>265</v>
      </c>
      <c r="C97" s="90">
        <v>4</v>
      </c>
      <c r="D97" s="114">
        <v>0.002296139384942321</v>
      </c>
      <c r="E97" s="114">
        <v>2.745855195173729</v>
      </c>
      <c r="F97" s="90" t="s">
        <v>2081</v>
      </c>
      <c r="G97" s="90" t="b">
        <v>0</v>
      </c>
      <c r="H97" s="90" t="b">
        <v>0</v>
      </c>
      <c r="I97" s="90" t="b">
        <v>0</v>
      </c>
      <c r="J97" s="90" t="b">
        <v>0</v>
      </c>
      <c r="K97" s="90" t="b">
        <v>0</v>
      </c>
      <c r="L97" s="90" t="b">
        <v>0</v>
      </c>
    </row>
    <row r="98" spans="1:12" ht="15">
      <c r="A98" s="87" t="s">
        <v>1806</v>
      </c>
      <c r="B98" s="90" t="s">
        <v>1801</v>
      </c>
      <c r="C98" s="90">
        <v>3</v>
      </c>
      <c r="D98" s="114">
        <v>0.0018473354808467004</v>
      </c>
      <c r="E98" s="114">
        <v>1.3376152298618793</v>
      </c>
      <c r="F98" s="90" t="s">
        <v>2081</v>
      </c>
      <c r="G98" s="90" t="b">
        <v>0</v>
      </c>
      <c r="H98" s="90" t="b">
        <v>0</v>
      </c>
      <c r="I98" s="90" t="b">
        <v>0</v>
      </c>
      <c r="J98" s="90" t="b">
        <v>0</v>
      </c>
      <c r="K98" s="90" t="b">
        <v>0</v>
      </c>
      <c r="L98" s="90" t="b">
        <v>0</v>
      </c>
    </row>
    <row r="99" spans="1:12" ht="15">
      <c r="A99" s="87" t="s">
        <v>1809</v>
      </c>
      <c r="B99" s="90" t="s">
        <v>1533</v>
      </c>
      <c r="C99" s="90">
        <v>3</v>
      </c>
      <c r="D99" s="114">
        <v>0.0018473354808467004</v>
      </c>
      <c r="E99" s="114">
        <v>1.520545913447866</v>
      </c>
      <c r="F99" s="90" t="s">
        <v>2081</v>
      </c>
      <c r="G99" s="90" t="b">
        <v>0</v>
      </c>
      <c r="H99" s="90" t="b">
        <v>0</v>
      </c>
      <c r="I99" s="90" t="b">
        <v>0</v>
      </c>
      <c r="J99" s="90" t="b">
        <v>0</v>
      </c>
      <c r="K99" s="90" t="b">
        <v>0</v>
      </c>
      <c r="L99" s="90" t="b">
        <v>0</v>
      </c>
    </row>
    <row r="100" spans="1:12" ht="15">
      <c r="A100" s="87" t="s">
        <v>1793</v>
      </c>
      <c r="B100" s="90" t="s">
        <v>1500</v>
      </c>
      <c r="C100" s="90">
        <v>3</v>
      </c>
      <c r="D100" s="114">
        <v>0.0018473354808467004</v>
      </c>
      <c r="E100" s="114">
        <v>0.7569990816075685</v>
      </c>
      <c r="F100" s="90" t="s">
        <v>2081</v>
      </c>
      <c r="G100" s="90" t="b">
        <v>0</v>
      </c>
      <c r="H100" s="90" t="b">
        <v>0</v>
      </c>
      <c r="I100" s="90" t="b">
        <v>0</v>
      </c>
      <c r="J100" s="90" t="b">
        <v>0</v>
      </c>
      <c r="K100" s="90" t="b">
        <v>0</v>
      </c>
      <c r="L100" s="90" t="b">
        <v>0</v>
      </c>
    </row>
    <row r="101" spans="1:12" ht="15">
      <c r="A101" s="87" t="s">
        <v>1891</v>
      </c>
      <c r="B101" s="90" t="s">
        <v>1800</v>
      </c>
      <c r="C101" s="90">
        <v>3</v>
      </c>
      <c r="D101" s="114">
        <v>0.0018473354808467004</v>
      </c>
      <c r="E101" s="114">
        <v>2.04688519083771</v>
      </c>
      <c r="F101" s="90" t="s">
        <v>2081</v>
      </c>
      <c r="G101" s="90" t="b">
        <v>0</v>
      </c>
      <c r="H101" s="90" t="b">
        <v>0</v>
      </c>
      <c r="I101" s="90" t="b">
        <v>0</v>
      </c>
      <c r="J101" s="90" t="b">
        <v>0</v>
      </c>
      <c r="K101" s="90" t="b">
        <v>0</v>
      </c>
      <c r="L101" s="90" t="b">
        <v>0</v>
      </c>
    </row>
    <row r="102" spans="1:12" ht="15">
      <c r="A102" s="87" t="s">
        <v>1497</v>
      </c>
      <c r="B102" s="90" t="s">
        <v>1500</v>
      </c>
      <c r="C102" s="90">
        <v>3</v>
      </c>
      <c r="D102" s="114">
        <v>0.0018473354808467004</v>
      </c>
      <c r="E102" s="114">
        <v>0.5481153091555797</v>
      </c>
      <c r="F102" s="90" t="s">
        <v>2081</v>
      </c>
      <c r="G102" s="90" t="b">
        <v>0</v>
      </c>
      <c r="H102" s="90" t="b">
        <v>0</v>
      </c>
      <c r="I102" s="90" t="b">
        <v>0</v>
      </c>
      <c r="J102" s="90" t="b">
        <v>0</v>
      </c>
      <c r="K102" s="90" t="b">
        <v>0</v>
      </c>
      <c r="L102" s="90" t="b">
        <v>0</v>
      </c>
    </row>
    <row r="103" spans="1:12" ht="15">
      <c r="A103" s="87" t="s">
        <v>1818</v>
      </c>
      <c r="B103" s="90" t="s">
        <v>1809</v>
      </c>
      <c r="C103" s="90">
        <v>3</v>
      </c>
      <c r="D103" s="114">
        <v>0.0018473354808467004</v>
      </c>
      <c r="E103" s="114">
        <v>1.880553769071185</v>
      </c>
      <c r="F103" s="90" t="s">
        <v>2081</v>
      </c>
      <c r="G103" s="90" t="b">
        <v>0</v>
      </c>
      <c r="H103" s="90" t="b">
        <v>0</v>
      </c>
      <c r="I103" s="90" t="b">
        <v>0</v>
      </c>
      <c r="J103" s="90" t="b">
        <v>0</v>
      </c>
      <c r="K103" s="90" t="b">
        <v>0</v>
      </c>
      <c r="L103" s="90" t="b">
        <v>0</v>
      </c>
    </row>
    <row r="104" spans="1:12" ht="15">
      <c r="A104" s="87" t="s">
        <v>1892</v>
      </c>
      <c r="B104" s="90" t="s">
        <v>1858</v>
      </c>
      <c r="C104" s="90">
        <v>3</v>
      </c>
      <c r="D104" s="114">
        <v>0.0018473354808467004</v>
      </c>
      <c r="E104" s="114">
        <v>2.745855195173729</v>
      </c>
      <c r="F104" s="90" t="s">
        <v>2081</v>
      </c>
      <c r="G104" s="90" t="b">
        <v>0</v>
      </c>
      <c r="H104" s="90" t="b">
        <v>0</v>
      </c>
      <c r="I104" s="90" t="b">
        <v>0</v>
      </c>
      <c r="J104" s="90" t="b">
        <v>0</v>
      </c>
      <c r="K104" s="90" t="b">
        <v>0</v>
      </c>
      <c r="L104" s="90" t="b">
        <v>0</v>
      </c>
    </row>
    <row r="105" spans="1:12" ht="15">
      <c r="A105" s="87" t="s">
        <v>1793</v>
      </c>
      <c r="B105" s="90" t="s">
        <v>1793</v>
      </c>
      <c r="C105" s="90">
        <v>3</v>
      </c>
      <c r="D105" s="114">
        <v>0.0018473354808467004</v>
      </c>
      <c r="E105" s="114">
        <v>0.8719535973092675</v>
      </c>
      <c r="F105" s="90" t="s">
        <v>2081</v>
      </c>
      <c r="G105" s="90" t="b">
        <v>0</v>
      </c>
      <c r="H105" s="90" t="b">
        <v>0</v>
      </c>
      <c r="I105" s="90" t="b">
        <v>0</v>
      </c>
      <c r="J105" s="90" t="b">
        <v>0</v>
      </c>
      <c r="K105" s="90" t="b">
        <v>0</v>
      </c>
      <c r="L105" s="90" t="b">
        <v>0</v>
      </c>
    </row>
    <row r="106" spans="1:12" ht="15">
      <c r="A106" s="87" t="s">
        <v>1794</v>
      </c>
      <c r="B106" s="90" t="s">
        <v>1501</v>
      </c>
      <c r="C106" s="90">
        <v>3</v>
      </c>
      <c r="D106" s="114">
        <v>0.0018473354808467004</v>
      </c>
      <c r="E106" s="114">
        <v>0.8147364845815417</v>
      </c>
      <c r="F106" s="90" t="s">
        <v>2081</v>
      </c>
      <c r="G106" s="90" t="b">
        <v>0</v>
      </c>
      <c r="H106" s="90" t="b">
        <v>0</v>
      </c>
      <c r="I106" s="90" t="b">
        <v>0</v>
      </c>
      <c r="J106" s="90" t="b">
        <v>0</v>
      </c>
      <c r="K106" s="90" t="b">
        <v>0</v>
      </c>
      <c r="L106" s="90" t="b">
        <v>0</v>
      </c>
    </row>
    <row r="107" spans="1:12" ht="15">
      <c r="A107" s="87" t="s">
        <v>1503</v>
      </c>
      <c r="B107" s="90" t="s">
        <v>1798</v>
      </c>
      <c r="C107" s="90">
        <v>3</v>
      </c>
      <c r="D107" s="114">
        <v>0.0018473354808467004</v>
      </c>
      <c r="E107" s="114">
        <v>0.9307203785369151</v>
      </c>
      <c r="F107" s="90" t="s">
        <v>2081</v>
      </c>
      <c r="G107" s="90" t="b">
        <v>0</v>
      </c>
      <c r="H107" s="90" t="b">
        <v>0</v>
      </c>
      <c r="I107" s="90" t="b">
        <v>0</v>
      </c>
      <c r="J107" s="90" t="b">
        <v>0</v>
      </c>
      <c r="K107" s="90" t="b">
        <v>0</v>
      </c>
      <c r="L107" s="90" t="b">
        <v>0</v>
      </c>
    </row>
    <row r="108" spans="1:12" ht="15">
      <c r="A108" s="87" t="s">
        <v>1496</v>
      </c>
      <c r="B108" s="90" t="s">
        <v>1495</v>
      </c>
      <c r="C108" s="90">
        <v>3</v>
      </c>
      <c r="D108" s="114">
        <v>0.0018473354808467004</v>
      </c>
      <c r="E108" s="114">
        <v>-0.7224527416621028</v>
      </c>
      <c r="F108" s="90" t="s">
        <v>2081</v>
      </c>
      <c r="G108" s="90" t="b">
        <v>0</v>
      </c>
      <c r="H108" s="90" t="b">
        <v>0</v>
      </c>
      <c r="I108" s="90" t="b">
        <v>0</v>
      </c>
      <c r="J108" s="90" t="b">
        <v>0</v>
      </c>
      <c r="K108" s="90" t="b">
        <v>0</v>
      </c>
      <c r="L108" s="90" t="b">
        <v>0</v>
      </c>
    </row>
    <row r="109" spans="1:12" ht="15">
      <c r="A109" s="87" t="s">
        <v>1793</v>
      </c>
      <c r="B109" s="90" t="s">
        <v>1501</v>
      </c>
      <c r="C109" s="90">
        <v>3</v>
      </c>
      <c r="D109" s="114">
        <v>0.0018473354808467004</v>
      </c>
      <c r="E109" s="114">
        <v>0.7884075458591926</v>
      </c>
      <c r="F109" s="90" t="s">
        <v>2081</v>
      </c>
      <c r="G109" s="90" t="b">
        <v>0</v>
      </c>
      <c r="H109" s="90" t="b">
        <v>0</v>
      </c>
      <c r="I109" s="90" t="b">
        <v>0</v>
      </c>
      <c r="J109" s="90" t="b">
        <v>0</v>
      </c>
      <c r="K109" s="90" t="b">
        <v>0</v>
      </c>
      <c r="L109" s="90" t="b">
        <v>0</v>
      </c>
    </row>
    <row r="110" spans="1:12" ht="15">
      <c r="A110" s="87" t="s">
        <v>1498</v>
      </c>
      <c r="B110" s="90" t="s">
        <v>1804</v>
      </c>
      <c r="C110" s="90">
        <v>3</v>
      </c>
      <c r="D110" s="114">
        <v>0.0018473354808467004</v>
      </c>
      <c r="E110" s="114">
        <v>0.9095310794669772</v>
      </c>
      <c r="F110" s="90" t="s">
        <v>2081</v>
      </c>
      <c r="G110" s="90" t="b">
        <v>0</v>
      </c>
      <c r="H110" s="90" t="b">
        <v>1</v>
      </c>
      <c r="I110" s="90" t="b">
        <v>0</v>
      </c>
      <c r="J110" s="90" t="b">
        <v>0</v>
      </c>
      <c r="K110" s="90" t="b">
        <v>0</v>
      </c>
      <c r="L110" s="90" t="b">
        <v>0</v>
      </c>
    </row>
    <row r="111" spans="1:12" ht="15">
      <c r="A111" s="87" t="s">
        <v>1795</v>
      </c>
      <c r="B111" s="90" t="s">
        <v>1799</v>
      </c>
      <c r="C111" s="90">
        <v>3</v>
      </c>
      <c r="D111" s="114">
        <v>0.0018473354808467004</v>
      </c>
      <c r="E111" s="114">
        <v>1.0018231279386862</v>
      </c>
      <c r="F111" s="90" t="s">
        <v>2081</v>
      </c>
      <c r="G111" s="90" t="b">
        <v>0</v>
      </c>
      <c r="H111" s="90" t="b">
        <v>0</v>
      </c>
      <c r="I111" s="90" t="b">
        <v>0</v>
      </c>
      <c r="J111" s="90" t="b">
        <v>0</v>
      </c>
      <c r="K111" s="90" t="b">
        <v>0</v>
      </c>
      <c r="L111" s="90" t="b">
        <v>0</v>
      </c>
    </row>
    <row r="112" spans="1:12" ht="15">
      <c r="A112" s="87" t="s">
        <v>1900</v>
      </c>
      <c r="B112" s="90" t="s">
        <v>1495</v>
      </c>
      <c r="C112" s="90">
        <v>3</v>
      </c>
      <c r="D112" s="114">
        <v>0.0018473354808467004</v>
      </c>
      <c r="E112" s="114">
        <v>1.1184893385809962</v>
      </c>
      <c r="F112" s="90" t="s">
        <v>2081</v>
      </c>
      <c r="G112" s="90" t="b">
        <v>0</v>
      </c>
      <c r="H112" s="90" t="b">
        <v>0</v>
      </c>
      <c r="I112" s="90" t="b">
        <v>0</v>
      </c>
      <c r="J112" s="90" t="b">
        <v>0</v>
      </c>
      <c r="K112" s="90" t="b">
        <v>0</v>
      </c>
      <c r="L112" s="90" t="b">
        <v>0</v>
      </c>
    </row>
    <row r="113" spans="1:12" ht="15">
      <c r="A113" s="87" t="s">
        <v>539</v>
      </c>
      <c r="B113" s="90" t="s">
        <v>1795</v>
      </c>
      <c r="C113" s="90">
        <v>3</v>
      </c>
      <c r="D113" s="114">
        <v>0.0018473354808467004</v>
      </c>
      <c r="E113" s="114">
        <v>0.7493435230195503</v>
      </c>
      <c r="F113" s="90" t="s">
        <v>2081</v>
      </c>
      <c r="G113" s="90" t="b">
        <v>0</v>
      </c>
      <c r="H113" s="90" t="b">
        <v>0</v>
      </c>
      <c r="I113" s="90" t="b">
        <v>0</v>
      </c>
      <c r="J113" s="90" t="b">
        <v>0</v>
      </c>
      <c r="K113" s="90" t="b">
        <v>0</v>
      </c>
      <c r="L113" s="90" t="b">
        <v>0</v>
      </c>
    </row>
    <row r="114" spans="1:12" ht="15">
      <c r="A114" s="87" t="s">
        <v>539</v>
      </c>
      <c r="B114" s="90" t="s">
        <v>1499</v>
      </c>
      <c r="C114" s="90">
        <v>3</v>
      </c>
      <c r="D114" s="114">
        <v>0.0018473354808467004</v>
      </c>
      <c r="E114" s="114">
        <v>0.5686073589181054</v>
      </c>
      <c r="F114" s="90" t="s">
        <v>2081</v>
      </c>
      <c r="G114" s="90" t="b">
        <v>0</v>
      </c>
      <c r="H114" s="90" t="b">
        <v>0</v>
      </c>
      <c r="I114" s="90" t="b">
        <v>0</v>
      </c>
      <c r="J114" s="90" t="b">
        <v>0</v>
      </c>
      <c r="K114" s="90" t="b">
        <v>0</v>
      </c>
      <c r="L114" s="90" t="b">
        <v>0</v>
      </c>
    </row>
    <row r="115" spans="1:12" ht="15">
      <c r="A115" s="87" t="s">
        <v>1795</v>
      </c>
      <c r="B115" s="90" t="s">
        <v>1501</v>
      </c>
      <c r="C115" s="90">
        <v>3</v>
      </c>
      <c r="D115" s="114">
        <v>0.0018473354808467004</v>
      </c>
      <c r="E115" s="114">
        <v>0.8147364845815417</v>
      </c>
      <c r="F115" s="90" t="s">
        <v>2081</v>
      </c>
      <c r="G115" s="90" t="b">
        <v>0</v>
      </c>
      <c r="H115" s="90" t="b">
        <v>0</v>
      </c>
      <c r="I115" s="90" t="b">
        <v>0</v>
      </c>
      <c r="J115" s="90" t="b">
        <v>0</v>
      </c>
      <c r="K115" s="90" t="b">
        <v>0</v>
      </c>
      <c r="L115" s="90" t="b">
        <v>0</v>
      </c>
    </row>
    <row r="116" spans="1:12" ht="15">
      <c r="A116" s="87" t="s">
        <v>1497</v>
      </c>
      <c r="B116" s="90" t="s">
        <v>1793</v>
      </c>
      <c r="C116" s="90">
        <v>3</v>
      </c>
      <c r="D116" s="114">
        <v>0.0018473354808467004</v>
      </c>
      <c r="E116" s="114">
        <v>0.6630698248572788</v>
      </c>
      <c r="F116" s="90" t="s">
        <v>2081</v>
      </c>
      <c r="G116" s="90" t="b">
        <v>0</v>
      </c>
      <c r="H116" s="90" t="b">
        <v>0</v>
      </c>
      <c r="I116" s="90" t="b">
        <v>0</v>
      </c>
      <c r="J116" s="90" t="b">
        <v>0</v>
      </c>
      <c r="K116" s="90" t="b">
        <v>0</v>
      </c>
      <c r="L116" s="90" t="b">
        <v>0</v>
      </c>
    </row>
    <row r="117" spans="1:12" ht="15">
      <c r="A117" s="87" t="s">
        <v>1500</v>
      </c>
      <c r="B117" s="90" t="s">
        <v>1804</v>
      </c>
      <c r="C117" s="90">
        <v>3</v>
      </c>
      <c r="D117" s="114">
        <v>0.0018473354808467004</v>
      </c>
      <c r="E117" s="114">
        <v>1.0199435628786806</v>
      </c>
      <c r="F117" s="90" t="s">
        <v>2081</v>
      </c>
      <c r="G117" s="90" t="b">
        <v>0</v>
      </c>
      <c r="H117" s="90" t="b">
        <v>0</v>
      </c>
      <c r="I117" s="90" t="b">
        <v>0</v>
      </c>
      <c r="J117" s="90" t="b">
        <v>0</v>
      </c>
      <c r="K117" s="90" t="b">
        <v>0</v>
      </c>
      <c r="L117" s="90" t="b">
        <v>0</v>
      </c>
    </row>
    <row r="118" spans="1:12" ht="15">
      <c r="A118" s="87" t="s">
        <v>1796</v>
      </c>
      <c r="B118" s="90" t="s">
        <v>1793</v>
      </c>
      <c r="C118" s="90">
        <v>3</v>
      </c>
      <c r="D118" s="114">
        <v>0.0018473354808467004</v>
      </c>
      <c r="E118" s="114">
        <v>0.91207082051725</v>
      </c>
      <c r="F118" s="90" t="s">
        <v>2081</v>
      </c>
      <c r="G118" s="90" t="b">
        <v>0</v>
      </c>
      <c r="H118" s="90" t="b">
        <v>0</v>
      </c>
      <c r="I118" s="90" t="b">
        <v>0</v>
      </c>
      <c r="J118" s="90" t="b">
        <v>0</v>
      </c>
      <c r="K118" s="90" t="b">
        <v>0</v>
      </c>
      <c r="L118" s="90" t="b">
        <v>0</v>
      </c>
    </row>
    <row r="119" spans="1:12" ht="15">
      <c r="A119" s="87" t="s">
        <v>1794</v>
      </c>
      <c r="B119" s="90" t="s">
        <v>1500</v>
      </c>
      <c r="C119" s="90">
        <v>3</v>
      </c>
      <c r="D119" s="114">
        <v>0.0018473354808467004</v>
      </c>
      <c r="E119" s="114">
        <v>0.7833280203299176</v>
      </c>
      <c r="F119" s="90" t="s">
        <v>2081</v>
      </c>
      <c r="G119" s="90" t="b">
        <v>0</v>
      </c>
      <c r="H119" s="90" t="b">
        <v>0</v>
      </c>
      <c r="I119" s="90" t="b">
        <v>0</v>
      </c>
      <c r="J119" s="90" t="b">
        <v>0</v>
      </c>
      <c r="K119" s="90" t="b">
        <v>0</v>
      </c>
      <c r="L119" s="90" t="b">
        <v>0</v>
      </c>
    </row>
    <row r="120" spans="1:12" ht="15">
      <c r="A120" s="87" t="s">
        <v>1498</v>
      </c>
      <c r="B120" s="90" t="s">
        <v>1797</v>
      </c>
      <c r="C120" s="90">
        <v>3</v>
      </c>
      <c r="D120" s="114">
        <v>0.0018473354808467004</v>
      </c>
      <c r="E120" s="114">
        <v>0.754629119481234</v>
      </c>
      <c r="F120" s="90" t="s">
        <v>2081</v>
      </c>
      <c r="G120" s="90" t="b">
        <v>0</v>
      </c>
      <c r="H120" s="90" t="b">
        <v>1</v>
      </c>
      <c r="I120" s="90" t="b">
        <v>0</v>
      </c>
      <c r="J120" s="90" t="b">
        <v>0</v>
      </c>
      <c r="K120" s="90" t="b">
        <v>0</v>
      </c>
      <c r="L120" s="90" t="b">
        <v>0</v>
      </c>
    </row>
    <row r="121" spans="1:12" ht="15">
      <c r="A121" s="87" t="s">
        <v>1499</v>
      </c>
      <c r="B121" s="90" t="s">
        <v>1793</v>
      </c>
      <c r="C121" s="90">
        <v>3</v>
      </c>
      <c r="D121" s="114">
        <v>0.0018473354808467004</v>
      </c>
      <c r="E121" s="114">
        <v>0.7221912769759354</v>
      </c>
      <c r="F121" s="90" t="s">
        <v>2081</v>
      </c>
      <c r="G121" s="90" t="b">
        <v>0</v>
      </c>
      <c r="H121" s="90" t="b">
        <v>0</v>
      </c>
      <c r="I121" s="90" t="b">
        <v>0</v>
      </c>
      <c r="J121" s="90" t="b">
        <v>0</v>
      </c>
      <c r="K121" s="90" t="b">
        <v>0</v>
      </c>
      <c r="L121" s="90" t="b">
        <v>0</v>
      </c>
    </row>
    <row r="122" spans="1:12" ht="15">
      <c r="A122" s="87" t="s">
        <v>1854</v>
      </c>
      <c r="B122" s="90" t="s">
        <v>1862</v>
      </c>
      <c r="C122" s="90">
        <v>3</v>
      </c>
      <c r="D122" s="114">
        <v>0.0018473354808467004</v>
      </c>
      <c r="E122" s="114">
        <v>2.4448251995097476</v>
      </c>
      <c r="F122" s="90" t="s">
        <v>2081</v>
      </c>
      <c r="G122" s="90" t="b">
        <v>0</v>
      </c>
      <c r="H122" s="90" t="b">
        <v>0</v>
      </c>
      <c r="I122" s="90" t="b">
        <v>0</v>
      </c>
      <c r="J122" s="90" t="b">
        <v>0</v>
      </c>
      <c r="K122" s="90" t="b">
        <v>0</v>
      </c>
      <c r="L122" s="90" t="b">
        <v>0</v>
      </c>
    </row>
    <row r="123" spans="1:12" ht="15">
      <c r="A123" s="87" t="s">
        <v>1498</v>
      </c>
      <c r="B123" s="90" t="s">
        <v>1501</v>
      </c>
      <c r="C123" s="90">
        <v>3</v>
      </c>
      <c r="D123" s="114">
        <v>0.0018473354808467004</v>
      </c>
      <c r="E123" s="114">
        <v>0.6296903828729341</v>
      </c>
      <c r="F123" s="90" t="s">
        <v>2081</v>
      </c>
      <c r="G123" s="90" t="b">
        <v>0</v>
      </c>
      <c r="H123" s="90" t="b">
        <v>1</v>
      </c>
      <c r="I123" s="90" t="b">
        <v>0</v>
      </c>
      <c r="J123" s="90" t="b">
        <v>0</v>
      </c>
      <c r="K123" s="90" t="b">
        <v>0</v>
      </c>
      <c r="L123" s="90" t="b">
        <v>0</v>
      </c>
    </row>
    <row r="124" spans="1:12" ht="15">
      <c r="A124" s="87" t="s">
        <v>1808</v>
      </c>
      <c r="B124" s="90" t="s">
        <v>1812</v>
      </c>
      <c r="C124" s="90">
        <v>3</v>
      </c>
      <c r="D124" s="114">
        <v>0.0018473354808467004</v>
      </c>
      <c r="E124" s="114">
        <v>1.6764337864152603</v>
      </c>
      <c r="F124" s="90" t="s">
        <v>2081</v>
      </c>
      <c r="G124" s="90" t="b">
        <v>0</v>
      </c>
      <c r="H124" s="90" t="b">
        <v>0</v>
      </c>
      <c r="I124" s="90" t="b">
        <v>0</v>
      </c>
      <c r="J124" s="90" t="b">
        <v>0</v>
      </c>
      <c r="K124" s="90" t="b">
        <v>0</v>
      </c>
      <c r="L124" s="90" t="b">
        <v>0</v>
      </c>
    </row>
    <row r="125" spans="1:12" ht="15">
      <c r="A125" s="87" t="s">
        <v>1800</v>
      </c>
      <c r="B125" s="90" t="s">
        <v>1798</v>
      </c>
      <c r="C125" s="90">
        <v>3</v>
      </c>
      <c r="D125" s="114">
        <v>0.0018473354808467004</v>
      </c>
      <c r="E125" s="114">
        <v>1.0768484142151533</v>
      </c>
      <c r="F125" s="90" t="s">
        <v>2081</v>
      </c>
      <c r="G125" s="90" t="b">
        <v>0</v>
      </c>
      <c r="H125" s="90" t="b">
        <v>0</v>
      </c>
      <c r="I125" s="90" t="b">
        <v>0</v>
      </c>
      <c r="J125" s="90" t="b">
        <v>0</v>
      </c>
      <c r="K125" s="90" t="b">
        <v>0</v>
      </c>
      <c r="L125" s="90" t="b">
        <v>0</v>
      </c>
    </row>
    <row r="126" spans="1:12" ht="15">
      <c r="A126" s="87" t="s">
        <v>1498</v>
      </c>
      <c r="B126" s="90" t="s">
        <v>1794</v>
      </c>
      <c r="C126" s="90">
        <v>3</v>
      </c>
      <c r="D126" s="114">
        <v>0.0018473354808467004</v>
      </c>
      <c r="E126" s="114">
        <v>0.713236434323009</v>
      </c>
      <c r="F126" s="90" t="s">
        <v>2081</v>
      </c>
      <c r="G126" s="90" t="b">
        <v>0</v>
      </c>
      <c r="H126" s="90" t="b">
        <v>1</v>
      </c>
      <c r="I126" s="90" t="b">
        <v>0</v>
      </c>
      <c r="J126" s="90" t="b">
        <v>0</v>
      </c>
      <c r="K126" s="90" t="b">
        <v>0</v>
      </c>
      <c r="L126" s="90" t="b">
        <v>0</v>
      </c>
    </row>
    <row r="127" spans="1:12" ht="15">
      <c r="A127" s="87" t="s">
        <v>1498</v>
      </c>
      <c r="B127" s="90" t="s">
        <v>539</v>
      </c>
      <c r="C127" s="90">
        <v>3</v>
      </c>
      <c r="D127" s="114">
        <v>0.0018473354808467004</v>
      </c>
      <c r="E127" s="114">
        <v>0.5689925425193223</v>
      </c>
      <c r="F127" s="90" t="s">
        <v>2081</v>
      </c>
      <c r="G127" s="90" t="b">
        <v>0</v>
      </c>
      <c r="H127" s="90" t="b">
        <v>1</v>
      </c>
      <c r="I127" s="90" t="b">
        <v>0</v>
      </c>
      <c r="J127" s="90" t="b">
        <v>0</v>
      </c>
      <c r="K127" s="90" t="b">
        <v>0</v>
      </c>
      <c r="L127" s="90" t="b">
        <v>0</v>
      </c>
    </row>
    <row r="128" spans="1:12" ht="15">
      <c r="A128" s="87" t="s">
        <v>1799</v>
      </c>
      <c r="B128" s="90" t="s">
        <v>539</v>
      </c>
      <c r="C128" s="90">
        <v>3</v>
      </c>
      <c r="D128" s="114">
        <v>0.0018473354808467004</v>
      </c>
      <c r="E128" s="114">
        <v>0.8612486138757984</v>
      </c>
      <c r="F128" s="90" t="s">
        <v>2081</v>
      </c>
      <c r="G128" s="90" t="b">
        <v>0</v>
      </c>
      <c r="H128" s="90" t="b">
        <v>0</v>
      </c>
      <c r="I128" s="90" t="b">
        <v>0</v>
      </c>
      <c r="J128" s="90" t="b">
        <v>0</v>
      </c>
      <c r="K128" s="90" t="b">
        <v>0</v>
      </c>
      <c r="L128" s="90" t="b">
        <v>0</v>
      </c>
    </row>
    <row r="129" spans="1:12" ht="15">
      <c r="A129" s="87" t="s">
        <v>1855</v>
      </c>
      <c r="B129" s="90" t="s">
        <v>1495</v>
      </c>
      <c r="C129" s="90">
        <v>3</v>
      </c>
      <c r="D129" s="114">
        <v>0.0018473354808467004</v>
      </c>
      <c r="E129" s="114">
        <v>0.817459342917015</v>
      </c>
      <c r="F129" s="90" t="s">
        <v>2081</v>
      </c>
      <c r="G129" s="90" t="b">
        <v>0</v>
      </c>
      <c r="H129" s="90" t="b">
        <v>0</v>
      </c>
      <c r="I129" s="90" t="b">
        <v>0</v>
      </c>
      <c r="J129" s="90" t="b">
        <v>0</v>
      </c>
      <c r="K129" s="90" t="b">
        <v>0</v>
      </c>
      <c r="L129" s="90" t="b">
        <v>0</v>
      </c>
    </row>
    <row r="130" spans="1:12" ht="15">
      <c r="A130" s="87" t="s">
        <v>539</v>
      </c>
      <c r="B130" s="90" t="s">
        <v>1529</v>
      </c>
      <c r="C130" s="90">
        <v>3</v>
      </c>
      <c r="D130" s="114">
        <v>0.0018473354808467004</v>
      </c>
      <c r="E130" s="114">
        <v>1.7635839621341605</v>
      </c>
      <c r="F130" s="90" t="s">
        <v>2081</v>
      </c>
      <c r="G130" s="90" t="b">
        <v>0</v>
      </c>
      <c r="H130" s="90" t="b">
        <v>0</v>
      </c>
      <c r="I130" s="90" t="b">
        <v>0</v>
      </c>
      <c r="J130" s="90" t="b">
        <v>0</v>
      </c>
      <c r="K130" s="90" t="b">
        <v>0</v>
      </c>
      <c r="L130" s="90" t="b">
        <v>0</v>
      </c>
    </row>
    <row r="131" spans="1:12" ht="15">
      <c r="A131" s="87" t="s">
        <v>1529</v>
      </c>
      <c r="B131" s="90" t="s">
        <v>1530</v>
      </c>
      <c r="C131" s="90">
        <v>3</v>
      </c>
      <c r="D131" s="114">
        <v>0.0018473354808467004</v>
      </c>
      <c r="E131" s="114">
        <v>2.9677039447900855</v>
      </c>
      <c r="F131" s="90" t="s">
        <v>2081</v>
      </c>
      <c r="G131" s="90" t="b">
        <v>0</v>
      </c>
      <c r="H131" s="90" t="b">
        <v>0</v>
      </c>
      <c r="I131" s="90" t="b">
        <v>0</v>
      </c>
      <c r="J131" s="90" t="b">
        <v>0</v>
      </c>
      <c r="K131" s="90" t="b">
        <v>0</v>
      </c>
      <c r="L131" s="90" t="b">
        <v>0</v>
      </c>
    </row>
    <row r="132" spans="1:12" ht="15">
      <c r="A132" s="87" t="s">
        <v>1530</v>
      </c>
      <c r="B132" s="90" t="s">
        <v>1531</v>
      </c>
      <c r="C132" s="90">
        <v>3</v>
      </c>
      <c r="D132" s="114">
        <v>0.0018473354808467004</v>
      </c>
      <c r="E132" s="114">
        <v>2.9677039447900855</v>
      </c>
      <c r="F132" s="90" t="s">
        <v>2081</v>
      </c>
      <c r="G132" s="90" t="b">
        <v>0</v>
      </c>
      <c r="H132" s="90" t="b">
        <v>0</v>
      </c>
      <c r="I132" s="90" t="b">
        <v>0</v>
      </c>
      <c r="J132" s="90" t="b">
        <v>0</v>
      </c>
      <c r="K132" s="90" t="b">
        <v>0</v>
      </c>
      <c r="L132" s="90" t="b">
        <v>0</v>
      </c>
    </row>
    <row r="133" spans="1:12" ht="15">
      <c r="A133" s="87" t="s">
        <v>1531</v>
      </c>
      <c r="B133" s="90" t="s">
        <v>1495</v>
      </c>
      <c r="C133" s="90">
        <v>3</v>
      </c>
      <c r="D133" s="114">
        <v>0.0018473354808467004</v>
      </c>
      <c r="E133" s="114">
        <v>1.1184893385809962</v>
      </c>
      <c r="F133" s="90" t="s">
        <v>2081</v>
      </c>
      <c r="G133" s="90" t="b">
        <v>0</v>
      </c>
      <c r="H133" s="90" t="b">
        <v>0</v>
      </c>
      <c r="I133" s="90" t="b">
        <v>0</v>
      </c>
      <c r="J133" s="90" t="b">
        <v>0</v>
      </c>
      <c r="K133" s="90" t="b">
        <v>0</v>
      </c>
      <c r="L133" s="90" t="b">
        <v>0</v>
      </c>
    </row>
    <row r="134" spans="1:12" ht="15">
      <c r="A134" s="87" t="s">
        <v>1496</v>
      </c>
      <c r="B134" s="90" t="s">
        <v>1532</v>
      </c>
      <c r="C134" s="90">
        <v>3</v>
      </c>
      <c r="D134" s="114">
        <v>0.0018473354808467004</v>
      </c>
      <c r="E134" s="114">
        <v>1.1267618645469861</v>
      </c>
      <c r="F134" s="90" t="s">
        <v>2081</v>
      </c>
      <c r="G134" s="90" t="b">
        <v>0</v>
      </c>
      <c r="H134" s="90" t="b">
        <v>0</v>
      </c>
      <c r="I134" s="90" t="b">
        <v>0</v>
      </c>
      <c r="J134" s="90" t="b">
        <v>0</v>
      </c>
      <c r="K134" s="90" t="b">
        <v>0</v>
      </c>
      <c r="L134" s="90" t="b">
        <v>0</v>
      </c>
    </row>
    <row r="135" spans="1:12" ht="15">
      <c r="A135" s="87" t="s">
        <v>1532</v>
      </c>
      <c r="B135" s="90" t="s">
        <v>1533</v>
      </c>
      <c r="C135" s="90">
        <v>3</v>
      </c>
      <c r="D135" s="114">
        <v>0.0018473354808467004</v>
      </c>
      <c r="E135" s="114">
        <v>2.1895526944064416</v>
      </c>
      <c r="F135" s="90" t="s">
        <v>2081</v>
      </c>
      <c r="G135" s="90" t="b">
        <v>0</v>
      </c>
      <c r="H135" s="90" t="b">
        <v>0</v>
      </c>
      <c r="I135" s="90" t="b">
        <v>0</v>
      </c>
      <c r="J135" s="90" t="b">
        <v>0</v>
      </c>
      <c r="K135" s="90" t="b">
        <v>0</v>
      </c>
      <c r="L135" s="90" t="b">
        <v>0</v>
      </c>
    </row>
    <row r="136" spans="1:12" ht="15">
      <c r="A136" s="87" t="s">
        <v>1533</v>
      </c>
      <c r="B136" s="90" t="s">
        <v>1534</v>
      </c>
      <c r="C136" s="90">
        <v>3</v>
      </c>
      <c r="D136" s="114">
        <v>0.0018473354808467004</v>
      </c>
      <c r="E136" s="114">
        <v>2.1895526944064416</v>
      </c>
      <c r="F136" s="90" t="s">
        <v>2081</v>
      </c>
      <c r="G136" s="90" t="b">
        <v>0</v>
      </c>
      <c r="H136" s="90" t="b">
        <v>0</v>
      </c>
      <c r="I136" s="90" t="b">
        <v>0</v>
      </c>
      <c r="J136" s="90" t="b">
        <v>1</v>
      </c>
      <c r="K136" s="90" t="b">
        <v>0</v>
      </c>
      <c r="L136" s="90" t="b">
        <v>0</v>
      </c>
    </row>
    <row r="137" spans="1:12" ht="15">
      <c r="A137" s="87" t="s">
        <v>1534</v>
      </c>
      <c r="B137" s="90" t="s">
        <v>1535</v>
      </c>
      <c r="C137" s="90">
        <v>3</v>
      </c>
      <c r="D137" s="114">
        <v>0.0018473354808467004</v>
      </c>
      <c r="E137" s="114">
        <v>2.9677039447900855</v>
      </c>
      <c r="F137" s="90" t="s">
        <v>2081</v>
      </c>
      <c r="G137" s="90" t="b">
        <v>1</v>
      </c>
      <c r="H137" s="90" t="b">
        <v>0</v>
      </c>
      <c r="I137" s="90" t="b">
        <v>0</v>
      </c>
      <c r="J137" s="90" t="b">
        <v>0</v>
      </c>
      <c r="K137" s="90" t="b">
        <v>1</v>
      </c>
      <c r="L137" s="90" t="b">
        <v>0</v>
      </c>
    </row>
    <row r="138" spans="1:12" ht="15">
      <c r="A138" s="87" t="s">
        <v>1535</v>
      </c>
      <c r="B138" s="90" t="s">
        <v>1880</v>
      </c>
      <c r="C138" s="90">
        <v>3</v>
      </c>
      <c r="D138" s="114">
        <v>0.0018473354808467004</v>
      </c>
      <c r="E138" s="114">
        <v>2.842765208181785</v>
      </c>
      <c r="F138" s="90" t="s">
        <v>2081</v>
      </c>
      <c r="G138" s="90" t="b">
        <v>0</v>
      </c>
      <c r="H138" s="90" t="b">
        <v>1</v>
      </c>
      <c r="I138" s="90" t="b">
        <v>0</v>
      </c>
      <c r="J138" s="90" t="b">
        <v>0</v>
      </c>
      <c r="K138" s="90" t="b">
        <v>0</v>
      </c>
      <c r="L138" s="90" t="b">
        <v>0</v>
      </c>
    </row>
    <row r="139" spans="1:12" ht="15">
      <c r="A139" s="87" t="s">
        <v>1880</v>
      </c>
      <c r="B139" s="90" t="s">
        <v>1913</v>
      </c>
      <c r="C139" s="90">
        <v>3</v>
      </c>
      <c r="D139" s="114">
        <v>0.0018473354808467004</v>
      </c>
      <c r="E139" s="114">
        <v>2.842765208181785</v>
      </c>
      <c r="F139" s="90" t="s">
        <v>2081</v>
      </c>
      <c r="G139" s="90" t="b">
        <v>0</v>
      </c>
      <c r="H139" s="90" t="b">
        <v>0</v>
      </c>
      <c r="I139" s="90" t="b">
        <v>0</v>
      </c>
      <c r="J139" s="90" t="b">
        <v>0</v>
      </c>
      <c r="K139" s="90" t="b">
        <v>0</v>
      </c>
      <c r="L139" s="90" t="b">
        <v>0</v>
      </c>
    </row>
    <row r="140" spans="1:12" ht="15">
      <c r="A140" s="87" t="s">
        <v>1913</v>
      </c>
      <c r="B140" s="90" t="s">
        <v>1914</v>
      </c>
      <c r="C140" s="90">
        <v>3</v>
      </c>
      <c r="D140" s="114">
        <v>0.0018473354808467004</v>
      </c>
      <c r="E140" s="114">
        <v>2.9677039447900855</v>
      </c>
      <c r="F140" s="90" t="s">
        <v>2081</v>
      </c>
      <c r="G140" s="90" t="b">
        <v>0</v>
      </c>
      <c r="H140" s="90" t="b">
        <v>0</v>
      </c>
      <c r="I140" s="90" t="b">
        <v>0</v>
      </c>
      <c r="J140" s="90" t="b">
        <v>0</v>
      </c>
      <c r="K140" s="90" t="b">
        <v>0</v>
      </c>
      <c r="L140" s="90" t="b">
        <v>0</v>
      </c>
    </row>
    <row r="141" spans="1:12" ht="15">
      <c r="A141" s="87" t="s">
        <v>1914</v>
      </c>
      <c r="B141" s="90" t="s">
        <v>1915</v>
      </c>
      <c r="C141" s="90">
        <v>3</v>
      </c>
      <c r="D141" s="114">
        <v>0.0018473354808467004</v>
      </c>
      <c r="E141" s="114">
        <v>2.9677039447900855</v>
      </c>
      <c r="F141" s="90" t="s">
        <v>2081</v>
      </c>
      <c r="G141" s="90" t="b">
        <v>0</v>
      </c>
      <c r="H141" s="90" t="b">
        <v>0</v>
      </c>
      <c r="I141" s="90" t="b">
        <v>0</v>
      </c>
      <c r="J141" s="90" t="b">
        <v>1</v>
      </c>
      <c r="K141" s="90" t="b">
        <v>0</v>
      </c>
      <c r="L141" s="90" t="b">
        <v>0</v>
      </c>
    </row>
    <row r="142" spans="1:12" ht="15">
      <c r="A142" s="87" t="s">
        <v>1915</v>
      </c>
      <c r="B142" s="90" t="s">
        <v>1916</v>
      </c>
      <c r="C142" s="90">
        <v>3</v>
      </c>
      <c r="D142" s="114">
        <v>0.0018473354808467004</v>
      </c>
      <c r="E142" s="114">
        <v>2.9677039447900855</v>
      </c>
      <c r="F142" s="90" t="s">
        <v>2081</v>
      </c>
      <c r="G142" s="90" t="b">
        <v>1</v>
      </c>
      <c r="H142" s="90" t="b">
        <v>0</v>
      </c>
      <c r="I142" s="90" t="b">
        <v>0</v>
      </c>
      <c r="J142" s="90" t="b">
        <v>0</v>
      </c>
      <c r="K142" s="90" t="b">
        <v>0</v>
      </c>
      <c r="L142" s="90" t="b">
        <v>0</v>
      </c>
    </row>
    <row r="143" spans="1:12" ht="15">
      <c r="A143" s="87" t="s">
        <v>1916</v>
      </c>
      <c r="B143" s="90" t="s">
        <v>1917</v>
      </c>
      <c r="C143" s="90">
        <v>3</v>
      </c>
      <c r="D143" s="114">
        <v>0.0018473354808467004</v>
      </c>
      <c r="E143" s="114">
        <v>2.9677039447900855</v>
      </c>
      <c r="F143" s="90" t="s">
        <v>2081</v>
      </c>
      <c r="G143" s="90" t="b">
        <v>0</v>
      </c>
      <c r="H143" s="90" t="b">
        <v>0</v>
      </c>
      <c r="I143" s="90" t="b">
        <v>0</v>
      </c>
      <c r="J143" s="90" t="b">
        <v>0</v>
      </c>
      <c r="K143" s="90" t="b">
        <v>0</v>
      </c>
      <c r="L143" s="90" t="b">
        <v>0</v>
      </c>
    </row>
    <row r="144" spans="1:12" ht="15">
      <c r="A144" s="87" t="s">
        <v>1917</v>
      </c>
      <c r="B144" s="90" t="s">
        <v>1918</v>
      </c>
      <c r="C144" s="90">
        <v>3</v>
      </c>
      <c r="D144" s="114">
        <v>0.0018473354808467004</v>
      </c>
      <c r="E144" s="114">
        <v>2.9677039447900855</v>
      </c>
      <c r="F144" s="90" t="s">
        <v>2081</v>
      </c>
      <c r="G144" s="90" t="b">
        <v>0</v>
      </c>
      <c r="H144" s="90" t="b">
        <v>0</v>
      </c>
      <c r="I144" s="90" t="b">
        <v>0</v>
      </c>
      <c r="J144" s="90" t="b">
        <v>0</v>
      </c>
      <c r="K144" s="90" t="b">
        <v>0</v>
      </c>
      <c r="L144" s="90" t="b">
        <v>0</v>
      </c>
    </row>
    <row r="145" spans="1:12" ht="15">
      <c r="A145" s="87" t="s">
        <v>1496</v>
      </c>
      <c r="B145" s="90" t="s">
        <v>1920</v>
      </c>
      <c r="C145" s="90">
        <v>3</v>
      </c>
      <c r="D145" s="114">
        <v>0.0018473354808467004</v>
      </c>
      <c r="E145" s="114">
        <v>1.1267618645469861</v>
      </c>
      <c r="F145" s="90" t="s">
        <v>2081</v>
      </c>
      <c r="G145" s="90" t="b">
        <v>0</v>
      </c>
      <c r="H145" s="90" t="b">
        <v>0</v>
      </c>
      <c r="I145" s="90" t="b">
        <v>0</v>
      </c>
      <c r="J145" s="90" t="b">
        <v>0</v>
      </c>
      <c r="K145" s="90" t="b">
        <v>0</v>
      </c>
      <c r="L145" s="90" t="b">
        <v>0</v>
      </c>
    </row>
    <row r="146" spans="1:12" ht="15">
      <c r="A146" s="87" t="s">
        <v>1920</v>
      </c>
      <c r="B146" s="90" t="s">
        <v>1881</v>
      </c>
      <c r="C146" s="90">
        <v>3</v>
      </c>
      <c r="D146" s="114">
        <v>0.0018473354808467004</v>
      </c>
      <c r="E146" s="114">
        <v>2.842765208181785</v>
      </c>
      <c r="F146" s="90" t="s">
        <v>2081</v>
      </c>
      <c r="G146" s="90" t="b">
        <v>0</v>
      </c>
      <c r="H146" s="90" t="b">
        <v>0</v>
      </c>
      <c r="I146" s="90" t="b">
        <v>0</v>
      </c>
      <c r="J146" s="90" t="b">
        <v>0</v>
      </c>
      <c r="K146" s="90" t="b">
        <v>0</v>
      </c>
      <c r="L146" s="90" t="b">
        <v>0</v>
      </c>
    </row>
    <row r="147" spans="1:12" ht="15">
      <c r="A147" s="87" t="s">
        <v>1475</v>
      </c>
      <c r="B147" s="90" t="s">
        <v>1882</v>
      </c>
      <c r="C147" s="90">
        <v>3</v>
      </c>
      <c r="D147" s="114">
        <v>0.0018473354808467004</v>
      </c>
      <c r="E147" s="114">
        <v>2.416796475909504</v>
      </c>
      <c r="F147" s="90" t="s">
        <v>2081</v>
      </c>
      <c r="G147" s="90" t="b">
        <v>0</v>
      </c>
      <c r="H147" s="90" t="b">
        <v>0</v>
      </c>
      <c r="I147" s="90" t="b">
        <v>0</v>
      </c>
      <c r="J147" s="90" t="b">
        <v>0</v>
      </c>
      <c r="K147" s="90" t="b">
        <v>0</v>
      </c>
      <c r="L147" s="90" t="b">
        <v>0</v>
      </c>
    </row>
    <row r="148" spans="1:12" ht="15">
      <c r="A148" s="87" t="s">
        <v>1882</v>
      </c>
      <c r="B148" s="90" t="s">
        <v>1478</v>
      </c>
      <c r="C148" s="90">
        <v>3</v>
      </c>
      <c r="D148" s="114">
        <v>0.0018473354808467004</v>
      </c>
      <c r="E148" s="114">
        <v>2.541735212517804</v>
      </c>
      <c r="F148" s="90" t="s">
        <v>2081</v>
      </c>
      <c r="G148" s="90" t="b">
        <v>0</v>
      </c>
      <c r="H148" s="90" t="b">
        <v>0</v>
      </c>
      <c r="I148" s="90" t="b">
        <v>0</v>
      </c>
      <c r="J148" s="90" t="b">
        <v>0</v>
      </c>
      <c r="K148" s="90" t="b">
        <v>0</v>
      </c>
      <c r="L148" s="90" t="b">
        <v>0</v>
      </c>
    </row>
    <row r="149" spans="1:12" ht="15">
      <c r="A149" s="87" t="s">
        <v>1478</v>
      </c>
      <c r="B149" s="90" t="s">
        <v>1921</v>
      </c>
      <c r="C149" s="90">
        <v>3</v>
      </c>
      <c r="D149" s="114">
        <v>0.0018473354808467004</v>
      </c>
      <c r="E149" s="114">
        <v>2.6666739491261042</v>
      </c>
      <c r="F149" s="90" t="s">
        <v>2081</v>
      </c>
      <c r="G149" s="90" t="b">
        <v>0</v>
      </c>
      <c r="H149" s="90" t="b">
        <v>0</v>
      </c>
      <c r="I149" s="90" t="b">
        <v>0</v>
      </c>
      <c r="J149" s="90" t="b">
        <v>0</v>
      </c>
      <c r="K149" s="90" t="b">
        <v>0</v>
      </c>
      <c r="L149" s="90" t="b">
        <v>0</v>
      </c>
    </row>
    <row r="150" spans="1:12" ht="15">
      <c r="A150" s="87" t="s">
        <v>1921</v>
      </c>
      <c r="B150" s="90" t="s">
        <v>1495</v>
      </c>
      <c r="C150" s="90">
        <v>3</v>
      </c>
      <c r="D150" s="114">
        <v>0.0018473354808467004</v>
      </c>
      <c r="E150" s="114">
        <v>1.1184893385809962</v>
      </c>
      <c r="F150" s="90" t="s">
        <v>2081</v>
      </c>
      <c r="G150" s="90" t="b">
        <v>0</v>
      </c>
      <c r="H150" s="90" t="b">
        <v>0</v>
      </c>
      <c r="I150" s="90" t="b">
        <v>0</v>
      </c>
      <c r="J150" s="90" t="b">
        <v>0</v>
      </c>
      <c r="K150" s="90" t="b">
        <v>0</v>
      </c>
      <c r="L150" s="90" t="b">
        <v>0</v>
      </c>
    </row>
    <row r="151" spans="1:12" ht="15">
      <c r="A151" s="87" t="s">
        <v>1810</v>
      </c>
      <c r="B151" s="90" t="s">
        <v>1866</v>
      </c>
      <c r="C151" s="90">
        <v>3</v>
      </c>
      <c r="D151" s="114">
        <v>0.0018473354808467004</v>
      </c>
      <c r="E151" s="114">
        <v>2.1090330975865546</v>
      </c>
      <c r="F151" s="90" t="s">
        <v>2081</v>
      </c>
      <c r="G151" s="90" t="b">
        <v>0</v>
      </c>
      <c r="H151" s="90" t="b">
        <v>0</v>
      </c>
      <c r="I151" s="90" t="b">
        <v>0</v>
      </c>
      <c r="J151" s="90" t="b">
        <v>0</v>
      </c>
      <c r="K151" s="90" t="b">
        <v>0</v>
      </c>
      <c r="L151" s="90" t="b">
        <v>0</v>
      </c>
    </row>
    <row r="152" spans="1:12" ht="15">
      <c r="A152" s="87" t="s">
        <v>1866</v>
      </c>
      <c r="B152" s="90" t="s">
        <v>1922</v>
      </c>
      <c r="C152" s="90">
        <v>3</v>
      </c>
      <c r="D152" s="114">
        <v>0.0018473354808467004</v>
      </c>
      <c r="E152" s="114">
        <v>2.745855195173729</v>
      </c>
      <c r="F152" s="90" t="s">
        <v>2081</v>
      </c>
      <c r="G152" s="90" t="b">
        <v>0</v>
      </c>
      <c r="H152" s="90" t="b">
        <v>0</v>
      </c>
      <c r="I152" s="90" t="b">
        <v>0</v>
      </c>
      <c r="J152" s="90" t="b">
        <v>0</v>
      </c>
      <c r="K152" s="90" t="b">
        <v>0</v>
      </c>
      <c r="L152" s="90" t="b">
        <v>0</v>
      </c>
    </row>
    <row r="153" spans="1:12" ht="15">
      <c r="A153" s="87" t="s">
        <v>1881</v>
      </c>
      <c r="B153" s="90" t="s">
        <v>1927</v>
      </c>
      <c r="C153" s="90">
        <v>3</v>
      </c>
      <c r="D153" s="114">
        <v>0.0018473354808467004</v>
      </c>
      <c r="E153" s="114">
        <v>2.842765208181785</v>
      </c>
      <c r="F153" s="90" t="s">
        <v>2081</v>
      </c>
      <c r="G153" s="90" t="b">
        <v>0</v>
      </c>
      <c r="H153" s="90" t="b">
        <v>0</v>
      </c>
      <c r="I153" s="90" t="b">
        <v>0</v>
      </c>
      <c r="J153" s="90" t="b">
        <v>0</v>
      </c>
      <c r="K153" s="90" t="b">
        <v>0</v>
      </c>
      <c r="L153" s="90" t="b">
        <v>0</v>
      </c>
    </row>
    <row r="154" spans="1:12" ht="15">
      <c r="A154" s="87" t="s">
        <v>1800</v>
      </c>
      <c r="B154" s="90" t="s">
        <v>1802</v>
      </c>
      <c r="C154" s="90">
        <v>2</v>
      </c>
      <c r="D154" s="114">
        <v>0.0013492257203121102</v>
      </c>
      <c r="E154" s="114">
        <v>1.17182392744601</v>
      </c>
      <c r="F154" s="90" t="s">
        <v>2081</v>
      </c>
      <c r="G154" s="90" t="b">
        <v>0</v>
      </c>
      <c r="H154" s="90" t="b">
        <v>0</v>
      </c>
      <c r="I154" s="90" t="b">
        <v>0</v>
      </c>
      <c r="J154" s="90" t="b">
        <v>0</v>
      </c>
      <c r="K154" s="90" t="b">
        <v>0</v>
      </c>
      <c r="L154" s="90" t="b">
        <v>0</v>
      </c>
    </row>
    <row r="155" spans="1:12" ht="15">
      <c r="A155" s="87" t="s">
        <v>1533</v>
      </c>
      <c r="B155" s="90" t="s">
        <v>1858</v>
      </c>
      <c r="C155" s="90">
        <v>2</v>
      </c>
      <c r="D155" s="114">
        <v>0.0013492257203121102</v>
      </c>
      <c r="E155" s="114">
        <v>1.7916126857344041</v>
      </c>
      <c r="F155" s="90" t="s">
        <v>2081</v>
      </c>
      <c r="G155" s="90" t="b">
        <v>0</v>
      </c>
      <c r="H155" s="90" t="b">
        <v>0</v>
      </c>
      <c r="I155" s="90" t="b">
        <v>0</v>
      </c>
      <c r="J155" s="90" t="b">
        <v>0</v>
      </c>
      <c r="K155" s="90" t="b">
        <v>0</v>
      </c>
      <c r="L155" s="90" t="b">
        <v>0</v>
      </c>
    </row>
    <row r="156" spans="1:12" ht="15">
      <c r="A156" s="87" t="s">
        <v>1496</v>
      </c>
      <c r="B156" s="90" t="s">
        <v>1819</v>
      </c>
      <c r="C156" s="90">
        <v>2</v>
      </c>
      <c r="D156" s="114">
        <v>0.0013492257203121102</v>
      </c>
      <c r="E156" s="114">
        <v>0.7288218558749485</v>
      </c>
      <c r="F156" s="90" t="s">
        <v>2081</v>
      </c>
      <c r="G156" s="90" t="b">
        <v>0</v>
      </c>
      <c r="H156" s="90" t="b">
        <v>0</v>
      </c>
      <c r="I156" s="90" t="b">
        <v>0</v>
      </c>
      <c r="J156" s="90" t="b">
        <v>0</v>
      </c>
      <c r="K156" s="90" t="b">
        <v>0</v>
      </c>
      <c r="L156" s="90" t="b">
        <v>0</v>
      </c>
    </row>
    <row r="157" spans="1:12" ht="15">
      <c r="A157" s="87" t="s">
        <v>1496</v>
      </c>
      <c r="B157" s="90" t="s">
        <v>1891</v>
      </c>
      <c r="C157" s="90">
        <v>2</v>
      </c>
      <c r="D157" s="114">
        <v>0.0013492257203121102</v>
      </c>
      <c r="E157" s="114">
        <v>1.1267618645469861</v>
      </c>
      <c r="F157" s="90" t="s">
        <v>2081</v>
      </c>
      <c r="G157" s="90" t="b">
        <v>0</v>
      </c>
      <c r="H157" s="90" t="b">
        <v>0</v>
      </c>
      <c r="I157" s="90" t="b">
        <v>0</v>
      </c>
      <c r="J157" s="90" t="b">
        <v>0</v>
      </c>
      <c r="K157" s="90" t="b">
        <v>0</v>
      </c>
      <c r="L157" s="90" t="b">
        <v>0</v>
      </c>
    </row>
    <row r="158" spans="1:12" ht="15">
      <c r="A158" s="87" t="s">
        <v>1497</v>
      </c>
      <c r="B158" s="90" t="s">
        <v>1501</v>
      </c>
      <c r="C158" s="90">
        <v>2</v>
      </c>
      <c r="D158" s="114">
        <v>0.0013492257203121102</v>
      </c>
      <c r="E158" s="114">
        <v>0.4034325143515227</v>
      </c>
      <c r="F158" s="90" t="s">
        <v>2081</v>
      </c>
      <c r="G158" s="90" t="b">
        <v>0</v>
      </c>
      <c r="H158" s="90" t="b">
        <v>0</v>
      </c>
      <c r="I158" s="90" t="b">
        <v>0</v>
      </c>
      <c r="J158" s="90" t="b">
        <v>0</v>
      </c>
      <c r="K158" s="90" t="b">
        <v>0</v>
      </c>
      <c r="L158" s="90" t="b">
        <v>0</v>
      </c>
    </row>
    <row r="159" spans="1:12" ht="15">
      <c r="A159" s="87" t="s">
        <v>1809</v>
      </c>
      <c r="B159" s="90" t="s">
        <v>1498</v>
      </c>
      <c r="C159" s="90">
        <v>2</v>
      </c>
      <c r="D159" s="114">
        <v>0.0013492257203121102</v>
      </c>
      <c r="E159" s="114">
        <v>0.9095310794669772</v>
      </c>
      <c r="F159" s="90" t="s">
        <v>2081</v>
      </c>
      <c r="G159" s="90" t="b">
        <v>0</v>
      </c>
      <c r="H159" s="90" t="b">
        <v>0</v>
      </c>
      <c r="I159" s="90" t="b">
        <v>0</v>
      </c>
      <c r="J159" s="90" t="b">
        <v>0</v>
      </c>
      <c r="K159" s="90" t="b">
        <v>1</v>
      </c>
      <c r="L159" s="90" t="b">
        <v>0</v>
      </c>
    </row>
    <row r="160" spans="1:12" ht="15">
      <c r="A160" s="87" t="s">
        <v>1496</v>
      </c>
      <c r="B160" s="90" t="s">
        <v>1935</v>
      </c>
      <c r="C160" s="90">
        <v>2</v>
      </c>
      <c r="D160" s="114">
        <v>0.0013492257203121102</v>
      </c>
      <c r="E160" s="114">
        <v>1.1267618645469861</v>
      </c>
      <c r="F160" s="90" t="s">
        <v>2081</v>
      </c>
      <c r="G160" s="90" t="b">
        <v>0</v>
      </c>
      <c r="H160" s="90" t="b">
        <v>0</v>
      </c>
      <c r="I160" s="90" t="b">
        <v>0</v>
      </c>
      <c r="J160" s="90" t="b">
        <v>0</v>
      </c>
      <c r="K160" s="90" t="b">
        <v>0</v>
      </c>
      <c r="L160" s="90" t="b">
        <v>0</v>
      </c>
    </row>
    <row r="161" spans="1:12" ht="15">
      <c r="A161" s="87" t="s">
        <v>1935</v>
      </c>
      <c r="B161" s="90" t="s">
        <v>1892</v>
      </c>
      <c r="C161" s="90">
        <v>2</v>
      </c>
      <c r="D161" s="114">
        <v>0.0013492257203121102</v>
      </c>
      <c r="E161" s="114">
        <v>2.9677039447900855</v>
      </c>
      <c r="F161" s="90" t="s">
        <v>2081</v>
      </c>
      <c r="G161" s="90" t="b">
        <v>0</v>
      </c>
      <c r="H161" s="90" t="b">
        <v>0</v>
      </c>
      <c r="I161" s="90" t="b">
        <v>0</v>
      </c>
      <c r="J161" s="90" t="b">
        <v>0</v>
      </c>
      <c r="K161" s="90" t="b">
        <v>0</v>
      </c>
      <c r="L161" s="90" t="b">
        <v>0</v>
      </c>
    </row>
    <row r="162" spans="1:12" ht="15">
      <c r="A162" s="87" t="s">
        <v>1858</v>
      </c>
      <c r="B162" s="90" t="s">
        <v>1852</v>
      </c>
      <c r="C162" s="90">
        <v>2</v>
      </c>
      <c r="D162" s="114">
        <v>0.0013492257203121102</v>
      </c>
      <c r="E162" s="114">
        <v>2.365643953462123</v>
      </c>
      <c r="F162" s="90" t="s">
        <v>2081</v>
      </c>
      <c r="G162" s="90" t="b">
        <v>0</v>
      </c>
      <c r="H162" s="90" t="b">
        <v>0</v>
      </c>
      <c r="I162" s="90" t="b">
        <v>0</v>
      </c>
      <c r="J162" s="90" t="b">
        <v>0</v>
      </c>
      <c r="K162" s="90" t="b">
        <v>0</v>
      </c>
      <c r="L162" s="90" t="b">
        <v>0</v>
      </c>
    </row>
    <row r="163" spans="1:12" ht="15">
      <c r="A163" s="87" t="s">
        <v>1852</v>
      </c>
      <c r="B163" s="90" t="s">
        <v>1893</v>
      </c>
      <c r="C163" s="90">
        <v>2</v>
      </c>
      <c r="D163" s="114">
        <v>0.0013492257203121102</v>
      </c>
      <c r="E163" s="114">
        <v>2.490582690070423</v>
      </c>
      <c r="F163" s="90" t="s">
        <v>2081</v>
      </c>
      <c r="G163" s="90" t="b">
        <v>0</v>
      </c>
      <c r="H163" s="90" t="b">
        <v>0</v>
      </c>
      <c r="I163" s="90" t="b">
        <v>0</v>
      </c>
      <c r="J163" s="90" t="b">
        <v>0</v>
      </c>
      <c r="K163" s="90" t="b">
        <v>1</v>
      </c>
      <c r="L163" s="90" t="b">
        <v>0</v>
      </c>
    </row>
    <row r="164" spans="1:12" ht="15">
      <c r="A164" s="87" t="s">
        <v>1893</v>
      </c>
      <c r="B164" s="90" t="s">
        <v>1810</v>
      </c>
      <c r="C164" s="90">
        <v>2</v>
      </c>
      <c r="D164" s="114">
        <v>0.0013492257203121102</v>
      </c>
      <c r="E164" s="114">
        <v>2.1226059047758286</v>
      </c>
      <c r="F164" s="90" t="s">
        <v>2081</v>
      </c>
      <c r="G164" s="90" t="b">
        <v>0</v>
      </c>
      <c r="H164" s="90" t="b">
        <v>1</v>
      </c>
      <c r="I164" s="90" t="b">
        <v>0</v>
      </c>
      <c r="J164" s="90" t="b">
        <v>0</v>
      </c>
      <c r="K164" s="90" t="b">
        <v>0</v>
      </c>
      <c r="L164" s="90" t="b">
        <v>0</v>
      </c>
    </row>
    <row r="165" spans="1:12" ht="15">
      <c r="A165" s="87" t="s">
        <v>1810</v>
      </c>
      <c r="B165" s="90" t="s">
        <v>1936</v>
      </c>
      <c r="C165" s="90">
        <v>2</v>
      </c>
      <c r="D165" s="114">
        <v>0.0013492257203121102</v>
      </c>
      <c r="E165" s="114">
        <v>2.330881847202911</v>
      </c>
      <c r="F165" s="90" t="s">
        <v>2081</v>
      </c>
      <c r="G165" s="90" t="b">
        <v>0</v>
      </c>
      <c r="H165" s="90" t="b">
        <v>0</v>
      </c>
      <c r="I165" s="90" t="b">
        <v>0</v>
      </c>
      <c r="J165" s="90" t="b">
        <v>0</v>
      </c>
      <c r="K165" s="90" t="b">
        <v>0</v>
      </c>
      <c r="L165" s="90" t="b">
        <v>0</v>
      </c>
    </row>
    <row r="166" spans="1:12" ht="15">
      <c r="A166" s="87" t="s">
        <v>1936</v>
      </c>
      <c r="B166" s="90" t="s">
        <v>1894</v>
      </c>
      <c r="C166" s="90">
        <v>2</v>
      </c>
      <c r="D166" s="114">
        <v>0.0013492257203121102</v>
      </c>
      <c r="E166" s="114">
        <v>3.1437952038457664</v>
      </c>
      <c r="F166" s="90" t="s">
        <v>2081</v>
      </c>
      <c r="G166" s="90" t="b">
        <v>0</v>
      </c>
      <c r="H166" s="90" t="b">
        <v>0</v>
      </c>
      <c r="I166" s="90" t="b">
        <v>0</v>
      </c>
      <c r="J166" s="90" t="b">
        <v>0</v>
      </c>
      <c r="K166" s="90" t="b">
        <v>0</v>
      </c>
      <c r="L166" s="90" t="b">
        <v>0</v>
      </c>
    </row>
    <row r="167" spans="1:12" ht="15">
      <c r="A167" s="87" t="s">
        <v>1894</v>
      </c>
      <c r="B167" s="90" t="s">
        <v>1498</v>
      </c>
      <c r="C167" s="90">
        <v>2</v>
      </c>
      <c r="D167" s="114">
        <v>0.0013492257203121102</v>
      </c>
      <c r="E167" s="114">
        <v>1.5785378604255529</v>
      </c>
      <c r="F167" s="90" t="s">
        <v>2081</v>
      </c>
      <c r="G167" s="90" t="b">
        <v>0</v>
      </c>
      <c r="H167" s="90" t="b">
        <v>0</v>
      </c>
      <c r="I167" s="90" t="b">
        <v>0</v>
      </c>
      <c r="J167" s="90" t="b">
        <v>0</v>
      </c>
      <c r="K167" s="90" t="b">
        <v>1</v>
      </c>
      <c r="L167" s="90" t="b">
        <v>0</v>
      </c>
    </row>
    <row r="168" spans="1:12" ht="15">
      <c r="A168" s="87" t="s">
        <v>1868</v>
      </c>
      <c r="B168" s="90" t="s">
        <v>1869</v>
      </c>
      <c r="C168" s="90">
        <v>2</v>
      </c>
      <c r="D168" s="114">
        <v>0.0013492257203121102</v>
      </c>
      <c r="E168" s="114">
        <v>2.5417352125178043</v>
      </c>
      <c r="F168" s="90" t="s">
        <v>2081</v>
      </c>
      <c r="G168" s="90" t="b">
        <v>1</v>
      </c>
      <c r="H168" s="90" t="b">
        <v>0</v>
      </c>
      <c r="I168" s="90" t="b">
        <v>0</v>
      </c>
      <c r="J168" s="90" t="b">
        <v>0</v>
      </c>
      <c r="K168" s="90" t="b">
        <v>0</v>
      </c>
      <c r="L168" s="90" t="b">
        <v>0</v>
      </c>
    </row>
    <row r="169" spans="1:12" ht="15">
      <c r="A169" s="87" t="s">
        <v>1802</v>
      </c>
      <c r="B169" s="90" t="s">
        <v>1793</v>
      </c>
      <c r="C169" s="90">
        <v>2</v>
      </c>
      <c r="D169" s="114">
        <v>0.0013492257203121102</v>
      </c>
      <c r="E169" s="114">
        <v>0.8656134192782486</v>
      </c>
      <c r="F169" s="90" t="s">
        <v>2081</v>
      </c>
      <c r="G169" s="90" t="b">
        <v>0</v>
      </c>
      <c r="H169" s="90" t="b">
        <v>0</v>
      </c>
      <c r="I169" s="90" t="b">
        <v>0</v>
      </c>
      <c r="J169" s="90" t="b">
        <v>0</v>
      </c>
      <c r="K169" s="90" t="b">
        <v>0</v>
      </c>
      <c r="L169" s="90" t="b">
        <v>0</v>
      </c>
    </row>
    <row r="170" spans="1:12" ht="15">
      <c r="A170" s="87" t="s">
        <v>539</v>
      </c>
      <c r="B170" s="90" t="s">
        <v>1793</v>
      </c>
      <c r="C170" s="90">
        <v>2</v>
      </c>
      <c r="D170" s="114">
        <v>0.0013492257203121102</v>
      </c>
      <c r="E170" s="114">
        <v>0.5461000179202543</v>
      </c>
      <c r="F170" s="90" t="s">
        <v>2081</v>
      </c>
      <c r="G170" s="90" t="b">
        <v>0</v>
      </c>
      <c r="H170" s="90" t="b">
        <v>0</v>
      </c>
      <c r="I170" s="90" t="b">
        <v>0</v>
      </c>
      <c r="J170" s="90" t="b">
        <v>0</v>
      </c>
      <c r="K170" s="90" t="b">
        <v>0</v>
      </c>
      <c r="L170" s="90" t="b">
        <v>0</v>
      </c>
    </row>
    <row r="171" spans="1:12" ht="15">
      <c r="A171" s="87" t="s">
        <v>1888</v>
      </c>
      <c r="B171" s="90" t="s">
        <v>1896</v>
      </c>
      <c r="C171" s="90">
        <v>2</v>
      </c>
      <c r="D171" s="114">
        <v>0.0013492257203121102</v>
      </c>
      <c r="E171" s="114">
        <v>2.791612685734404</v>
      </c>
      <c r="F171" s="90" t="s">
        <v>2081</v>
      </c>
      <c r="G171" s="90" t="b">
        <v>0</v>
      </c>
      <c r="H171" s="90" t="b">
        <v>0</v>
      </c>
      <c r="I171" s="90" t="b">
        <v>0</v>
      </c>
      <c r="J171" s="90" t="b">
        <v>0</v>
      </c>
      <c r="K171" s="90" t="b">
        <v>0</v>
      </c>
      <c r="L171" s="90" t="b">
        <v>0</v>
      </c>
    </row>
    <row r="172" spans="1:12" ht="15">
      <c r="A172" s="87" t="s">
        <v>1496</v>
      </c>
      <c r="B172" s="90" t="s">
        <v>1870</v>
      </c>
      <c r="C172" s="90">
        <v>2</v>
      </c>
      <c r="D172" s="114">
        <v>0.0013492257203121102</v>
      </c>
      <c r="E172" s="114">
        <v>0.825731868883005</v>
      </c>
      <c r="F172" s="90" t="s">
        <v>2081</v>
      </c>
      <c r="G172" s="90" t="b">
        <v>0</v>
      </c>
      <c r="H172" s="90" t="b">
        <v>0</v>
      </c>
      <c r="I172" s="90" t="b">
        <v>0</v>
      </c>
      <c r="J172" s="90" t="b">
        <v>0</v>
      </c>
      <c r="K172" s="90" t="b">
        <v>0</v>
      </c>
      <c r="L172" s="90" t="b">
        <v>0</v>
      </c>
    </row>
    <row r="173" spans="1:12" ht="15">
      <c r="A173" s="87" t="s">
        <v>1499</v>
      </c>
      <c r="B173" s="90" t="s">
        <v>1804</v>
      </c>
      <c r="C173" s="90">
        <v>2</v>
      </c>
      <c r="D173" s="114">
        <v>0.0013492257203121102</v>
      </c>
      <c r="E173" s="114">
        <v>0.7423946630642224</v>
      </c>
      <c r="F173" s="90" t="s">
        <v>2081</v>
      </c>
      <c r="G173" s="90" t="b">
        <v>0</v>
      </c>
      <c r="H173" s="90" t="b">
        <v>0</v>
      </c>
      <c r="I173" s="90" t="b">
        <v>0</v>
      </c>
      <c r="J173" s="90" t="b">
        <v>0</v>
      </c>
      <c r="K173" s="90" t="b">
        <v>0</v>
      </c>
      <c r="L173" s="90" t="b">
        <v>0</v>
      </c>
    </row>
    <row r="174" spans="1:12" ht="15">
      <c r="A174" s="87" t="s">
        <v>1943</v>
      </c>
      <c r="B174" s="90" t="s">
        <v>1944</v>
      </c>
      <c r="C174" s="90">
        <v>2</v>
      </c>
      <c r="D174" s="114">
        <v>0.0013492257203121102</v>
      </c>
      <c r="E174" s="114">
        <v>3.1437952038457664</v>
      </c>
      <c r="F174" s="90" t="s">
        <v>2081</v>
      </c>
      <c r="G174" s="90" t="b">
        <v>0</v>
      </c>
      <c r="H174" s="90" t="b">
        <v>0</v>
      </c>
      <c r="I174" s="90" t="b">
        <v>0</v>
      </c>
      <c r="J174" s="90" t="b">
        <v>1</v>
      </c>
      <c r="K174" s="90" t="b">
        <v>0</v>
      </c>
      <c r="L174" s="90" t="b">
        <v>0</v>
      </c>
    </row>
    <row r="175" spans="1:12" ht="15">
      <c r="A175" s="87" t="s">
        <v>1816</v>
      </c>
      <c r="B175" s="90" t="s">
        <v>1495</v>
      </c>
      <c r="C175" s="90">
        <v>2</v>
      </c>
      <c r="D175" s="114">
        <v>0.0013492257203121102</v>
      </c>
      <c r="E175" s="114">
        <v>0.37812664908675236</v>
      </c>
      <c r="F175" s="90" t="s">
        <v>2081</v>
      </c>
      <c r="G175" s="90" t="b">
        <v>0</v>
      </c>
      <c r="H175" s="90" t="b">
        <v>0</v>
      </c>
      <c r="I175" s="90" t="b">
        <v>0</v>
      </c>
      <c r="J175" s="90" t="b">
        <v>0</v>
      </c>
      <c r="K175" s="90" t="b">
        <v>0</v>
      </c>
      <c r="L175" s="90" t="b">
        <v>0</v>
      </c>
    </row>
    <row r="176" spans="1:12" ht="15">
      <c r="A176" s="87" t="s">
        <v>1820</v>
      </c>
      <c r="B176" s="90" t="s">
        <v>1799</v>
      </c>
      <c r="C176" s="90">
        <v>2</v>
      </c>
      <c r="D176" s="114">
        <v>0.0013492257203121102</v>
      </c>
      <c r="E176" s="114">
        <v>1.4277918602109674</v>
      </c>
      <c r="F176" s="90" t="s">
        <v>2081</v>
      </c>
      <c r="G176" s="90" t="b">
        <v>0</v>
      </c>
      <c r="H176" s="90" t="b">
        <v>0</v>
      </c>
      <c r="I176" s="90" t="b">
        <v>0</v>
      </c>
      <c r="J176" s="90" t="b">
        <v>0</v>
      </c>
      <c r="K176" s="90" t="b">
        <v>0</v>
      </c>
      <c r="L176" s="90" t="b">
        <v>0</v>
      </c>
    </row>
    <row r="177" spans="1:12" ht="15">
      <c r="A177" s="87" t="s">
        <v>539</v>
      </c>
      <c r="B177" s="90" t="s">
        <v>1798</v>
      </c>
      <c r="C177" s="90">
        <v>2</v>
      </c>
      <c r="D177" s="114">
        <v>0.0013492257203121102</v>
      </c>
      <c r="E177" s="114">
        <v>0.6174559264559225</v>
      </c>
      <c r="F177" s="90" t="s">
        <v>2081</v>
      </c>
      <c r="G177" s="90" t="b">
        <v>0</v>
      </c>
      <c r="H177" s="90" t="b">
        <v>0</v>
      </c>
      <c r="I177" s="90" t="b">
        <v>0</v>
      </c>
      <c r="J177" s="90" t="b">
        <v>0</v>
      </c>
      <c r="K177" s="90" t="b">
        <v>0</v>
      </c>
      <c r="L177" s="90" t="b">
        <v>0</v>
      </c>
    </row>
    <row r="178" spans="1:12" ht="15">
      <c r="A178" s="87" t="s">
        <v>1503</v>
      </c>
      <c r="B178" s="90" t="s">
        <v>1499</v>
      </c>
      <c r="C178" s="90">
        <v>2</v>
      </c>
      <c r="D178" s="114">
        <v>0.0013492257203121102</v>
      </c>
      <c r="E178" s="114">
        <v>0.5296892928877358</v>
      </c>
      <c r="F178" s="90" t="s">
        <v>2081</v>
      </c>
      <c r="G178" s="90" t="b">
        <v>0</v>
      </c>
      <c r="H178" s="90" t="b">
        <v>0</v>
      </c>
      <c r="I178" s="90" t="b">
        <v>0</v>
      </c>
      <c r="J178" s="90" t="b">
        <v>0</v>
      </c>
      <c r="K178" s="90" t="b">
        <v>0</v>
      </c>
      <c r="L178" s="90" t="b">
        <v>0</v>
      </c>
    </row>
    <row r="179" spans="1:12" ht="15">
      <c r="A179" s="87" t="s">
        <v>1950</v>
      </c>
      <c r="B179" s="90" t="s">
        <v>1898</v>
      </c>
      <c r="C179" s="90">
        <v>2</v>
      </c>
      <c r="D179" s="114">
        <v>0.0013492257203121102</v>
      </c>
      <c r="E179" s="114">
        <v>3.1437952038457664</v>
      </c>
      <c r="F179" s="90" t="s">
        <v>2081</v>
      </c>
      <c r="G179" s="90" t="b">
        <v>0</v>
      </c>
      <c r="H179" s="90" t="b">
        <v>0</v>
      </c>
      <c r="I179" s="90" t="b">
        <v>0</v>
      </c>
      <c r="J179" s="90" t="b">
        <v>0</v>
      </c>
      <c r="K179" s="90" t="b">
        <v>0</v>
      </c>
      <c r="L179" s="90" t="b">
        <v>0</v>
      </c>
    </row>
    <row r="180" spans="1:12" ht="15">
      <c r="A180" s="87" t="s">
        <v>1816</v>
      </c>
      <c r="B180" s="90" t="s">
        <v>1951</v>
      </c>
      <c r="C180" s="90">
        <v>2</v>
      </c>
      <c r="D180" s="114">
        <v>0.0013492257203121102</v>
      </c>
      <c r="E180" s="114">
        <v>2.4034325143515227</v>
      </c>
      <c r="F180" s="90" t="s">
        <v>2081</v>
      </c>
      <c r="G180" s="90" t="b">
        <v>0</v>
      </c>
      <c r="H180" s="90" t="b">
        <v>0</v>
      </c>
      <c r="I180" s="90" t="b">
        <v>0</v>
      </c>
      <c r="J180" s="90" t="b">
        <v>0</v>
      </c>
      <c r="K180" s="90" t="b">
        <v>0</v>
      </c>
      <c r="L180" s="90" t="b">
        <v>0</v>
      </c>
    </row>
    <row r="181" spans="1:12" ht="15">
      <c r="A181" s="87" t="s">
        <v>1951</v>
      </c>
      <c r="B181" s="90" t="s">
        <v>1824</v>
      </c>
      <c r="C181" s="90">
        <v>2</v>
      </c>
      <c r="D181" s="114">
        <v>0.0013492257203121102</v>
      </c>
      <c r="E181" s="114">
        <v>2.5417352125178043</v>
      </c>
      <c r="F181" s="90" t="s">
        <v>2081</v>
      </c>
      <c r="G181" s="90" t="b">
        <v>0</v>
      </c>
      <c r="H181" s="90" t="b">
        <v>0</v>
      </c>
      <c r="I181" s="90" t="b">
        <v>0</v>
      </c>
      <c r="J181" s="90" t="b">
        <v>0</v>
      </c>
      <c r="K181" s="90" t="b">
        <v>0</v>
      </c>
      <c r="L181" s="90" t="b">
        <v>0</v>
      </c>
    </row>
    <row r="182" spans="1:12" ht="15">
      <c r="A182" s="87" t="s">
        <v>1806</v>
      </c>
      <c r="B182" s="90" t="s">
        <v>1794</v>
      </c>
      <c r="C182" s="90">
        <v>2</v>
      </c>
      <c r="D182" s="114">
        <v>0.0013492257203121102</v>
      </c>
      <c r="E182" s="114">
        <v>1.0232212726399166</v>
      </c>
      <c r="F182" s="90" t="s">
        <v>2081</v>
      </c>
      <c r="G182" s="90" t="b">
        <v>0</v>
      </c>
      <c r="H182" s="90" t="b">
        <v>0</v>
      </c>
      <c r="I182" s="90" t="b">
        <v>0</v>
      </c>
      <c r="J182" s="90" t="b">
        <v>0</v>
      </c>
      <c r="K182" s="90" t="b">
        <v>0</v>
      </c>
      <c r="L182" s="90" t="b">
        <v>0</v>
      </c>
    </row>
    <row r="183" spans="1:12" ht="15">
      <c r="A183" s="87" t="s">
        <v>1800</v>
      </c>
      <c r="B183" s="90" t="s">
        <v>1499</v>
      </c>
      <c r="C183" s="90">
        <v>2</v>
      </c>
      <c r="D183" s="114">
        <v>0.0013492257203121102</v>
      </c>
      <c r="E183" s="114">
        <v>0.6758173285659739</v>
      </c>
      <c r="F183" s="90" t="s">
        <v>2081</v>
      </c>
      <c r="G183" s="90" t="b">
        <v>0</v>
      </c>
      <c r="H183" s="90" t="b">
        <v>0</v>
      </c>
      <c r="I183" s="90" t="b">
        <v>0</v>
      </c>
      <c r="J183" s="90" t="b">
        <v>0</v>
      </c>
      <c r="K183" s="90" t="b">
        <v>0</v>
      </c>
      <c r="L183" s="90" t="b">
        <v>0</v>
      </c>
    </row>
    <row r="184" spans="1:12" ht="15">
      <c r="A184" s="87" t="s">
        <v>1953</v>
      </c>
      <c r="B184" s="90" t="s">
        <v>1860</v>
      </c>
      <c r="C184" s="90">
        <v>2</v>
      </c>
      <c r="D184" s="114">
        <v>0.0013492257203121102</v>
      </c>
      <c r="E184" s="114">
        <v>2.745855195173729</v>
      </c>
      <c r="F184" s="90" t="s">
        <v>2081</v>
      </c>
      <c r="G184" s="90" t="b">
        <v>0</v>
      </c>
      <c r="H184" s="90" t="b">
        <v>0</v>
      </c>
      <c r="I184" s="90" t="b">
        <v>0</v>
      </c>
      <c r="J184" s="90" t="b">
        <v>0</v>
      </c>
      <c r="K184" s="90" t="b">
        <v>0</v>
      </c>
      <c r="L184" s="90" t="b">
        <v>0</v>
      </c>
    </row>
    <row r="185" spans="1:12" ht="15">
      <c r="A185" s="87" t="s">
        <v>1795</v>
      </c>
      <c r="B185" s="90" t="s">
        <v>1500</v>
      </c>
      <c r="C185" s="90">
        <v>2</v>
      </c>
      <c r="D185" s="114">
        <v>0.0013492257203121102</v>
      </c>
      <c r="E185" s="114">
        <v>0.6072367612742364</v>
      </c>
      <c r="F185" s="90" t="s">
        <v>2081</v>
      </c>
      <c r="G185" s="90" t="b">
        <v>0</v>
      </c>
      <c r="H185" s="90" t="b">
        <v>0</v>
      </c>
      <c r="I185" s="90" t="b">
        <v>0</v>
      </c>
      <c r="J185" s="90" t="b">
        <v>0</v>
      </c>
      <c r="K185" s="90" t="b">
        <v>0</v>
      </c>
      <c r="L185" s="90" t="b">
        <v>0</v>
      </c>
    </row>
    <row r="186" spans="1:12" ht="15">
      <c r="A186" s="87" t="s">
        <v>1496</v>
      </c>
      <c r="B186" s="90" t="s">
        <v>1793</v>
      </c>
      <c r="C186" s="90">
        <v>2</v>
      </c>
      <c r="D186" s="114">
        <v>0.0013492257203121102</v>
      </c>
      <c r="E186" s="114">
        <v>-0.09072207966692006</v>
      </c>
      <c r="F186" s="90" t="s">
        <v>2081</v>
      </c>
      <c r="G186" s="90" t="b">
        <v>0</v>
      </c>
      <c r="H186" s="90" t="b">
        <v>0</v>
      </c>
      <c r="I186" s="90" t="b">
        <v>0</v>
      </c>
      <c r="J186" s="90" t="b">
        <v>0</v>
      </c>
      <c r="K186" s="90" t="b">
        <v>0</v>
      </c>
      <c r="L186" s="90" t="b">
        <v>0</v>
      </c>
    </row>
    <row r="187" spans="1:12" ht="15">
      <c r="A187" s="87" t="s">
        <v>1800</v>
      </c>
      <c r="B187" s="90" t="s">
        <v>1500</v>
      </c>
      <c r="C187" s="90">
        <v>2</v>
      </c>
      <c r="D187" s="114">
        <v>0.0013492257203121102</v>
      </c>
      <c r="E187" s="114">
        <v>0.7144467309221049</v>
      </c>
      <c r="F187" s="90" t="s">
        <v>2081</v>
      </c>
      <c r="G187" s="90" t="b">
        <v>0</v>
      </c>
      <c r="H187" s="90" t="b">
        <v>0</v>
      </c>
      <c r="I187" s="90" t="b">
        <v>0</v>
      </c>
      <c r="J187" s="90" t="b">
        <v>0</v>
      </c>
      <c r="K187" s="90" t="b">
        <v>0</v>
      </c>
      <c r="L187" s="90" t="b">
        <v>0</v>
      </c>
    </row>
    <row r="188" spans="1:12" ht="15">
      <c r="A188" s="87" t="s">
        <v>1503</v>
      </c>
      <c r="B188" s="90" t="s">
        <v>1797</v>
      </c>
      <c r="C188" s="90">
        <v>2</v>
      </c>
      <c r="D188" s="114">
        <v>0.0013492257203121102</v>
      </c>
      <c r="E188" s="114">
        <v>0.7246658961037908</v>
      </c>
      <c r="F188" s="90" t="s">
        <v>2081</v>
      </c>
      <c r="G188" s="90" t="b">
        <v>0</v>
      </c>
      <c r="H188" s="90" t="b">
        <v>0</v>
      </c>
      <c r="I188" s="90" t="b">
        <v>0</v>
      </c>
      <c r="J188" s="90" t="b">
        <v>0</v>
      </c>
      <c r="K188" s="90" t="b">
        <v>0</v>
      </c>
      <c r="L188" s="90" t="b">
        <v>0</v>
      </c>
    </row>
    <row r="189" spans="1:12" ht="15">
      <c r="A189" s="87" t="s">
        <v>1793</v>
      </c>
      <c r="B189" s="90" t="s">
        <v>539</v>
      </c>
      <c r="C189" s="90">
        <v>2</v>
      </c>
      <c r="D189" s="114">
        <v>0.0013492257203121102</v>
      </c>
      <c r="E189" s="114">
        <v>0.5516184464498998</v>
      </c>
      <c r="F189" s="90" t="s">
        <v>2081</v>
      </c>
      <c r="G189" s="90" t="b">
        <v>0</v>
      </c>
      <c r="H189" s="90" t="b">
        <v>0</v>
      </c>
      <c r="I189" s="90" t="b">
        <v>0</v>
      </c>
      <c r="J189" s="90" t="b">
        <v>0</v>
      </c>
      <c r="K189" s="90" t="b">
        <v>0</v>
      </c>
      <c r="L189" s="90" t="b">
        <v>0</v>
      </c>
    </row>
    <row r="190" spans="1:12" ht="15">
      <c r="A190" s="87" t="s">
        <v>1496</v>
      </c>
      <c r="B190" s="90" t="s">
        <v>1804</v>
      </c>
      <c r="C190" s="90">
        <v>2</v>
      </c>
      <c r="D190" s="114">
        <v>0.0013492257203121102</v>
      </c>
      <c r="E190" s="114">
        <v>0.1055725654770482</v>
      </c>
      <c r="F190" s="90" t="s">
        <v>2081</v>
      </c>
      <c r="G190" s="90" t="b">
        <v>0</v>
      </c>
      <c r="H190" s="90" t="b">
        <v>0</v>
      </c>
      <c r="I190" s="90" t="b">
        <v>0</v>
      </c>
      <c r="J190" s="90" t="b">
        <v>0</v>
      </c>
      <c r="K190" s="90" t="b">
        <v>0</v>
      </c>
      <c r="L190" s="90" t="b">
        <v>0</v>
      </c>
    </row>
    <row r="191" spans="1:12" ht="15">
      <c r="A191" s="87" t="s">
        <v>1796</v>
      </c>
      <c r="B191" s="90" t="s">
        <v>539</v>
      </c>
      <c r="C191" s="90">
        <v>2</v>
      </c>
      <c r="D191" s="114">
        <v>0.0013492257203121102</v>
      </c>
      <c r="E191" s="114">
        <v>0.5917356696578822</v>
      </c>
      <c r="F191" s="90" t="s">
        <v>2081</v>
      </c>
      <c r="G191" s="90" t="b">
        <v>0</v>
      </c>
      <c r="H191" s="90" t="b">
        <v>0</v>
      </c>
      <c r="I191" s="90" t="b">
        <v>0</v>
      </c>
      <c r="J191" s="90" t="b">
        <v>0</v>
      </c>
      <c r="K191" s="90" t="b">
        <v>0</v>
      </c>
      <c r="L191" s="90" t="b">
        <v>0</v>
      </c>
    </row>
    <row r="192" spans="1:12" ht="15">
      <c r="A192" s="87" t="s">
        <v>539</v>
      </c>
      <c r="B192" s="90" t="s">
        <v>1794</v>
      </c>
      <c r="C192" s="90">
        <v>2</v>
      </c>
      <c r="D192" s="114">
        <v>0.0013492257203121102</v>
      </c>
      <c r="E192" s="114">
        <v>0.5461000179202543</v>
      </c>
      <c r="F192" s="90" t="s">
        <v>2081</v>
      </c>
      <c r="G192" s="90" t="b">
        <v>0</v>
      </c>
      <c r="H192" s="90" t="b">
        <v>0</v>
      </c>
      <c r="I192" s="90" t="b">
        <v>0</v>
      </c>
      <c r="J192" s="90" t="b">
        <v>0</v>
      </c>
      <c r="K192" s="90" t="b">
        <v>0</v>
      </c>
      <c r="L192" s="90" t="b">
        <v>0</v>
      </c>
    </row>
    <row r="193" spans="1:12" ht="15">
      <c r="A193" s="87" t="s">
        <v>1794</v>
      </c>
      <c r="B193" s="90" t="s">
        <v>1801</v>
      </c>
      <c r="C193" s="90">
        <v>2</v>
      </c>
      <c r="D193" s="114">
        <v>0.0013492257203121102</v>
      </c>
      <c r="E193" s="114">
        <v>0.8604939751422169</v>
      </c>
      <c r="F193" s="90" t="s">
        <v>2081</v>
      </c>
      <c r="G193" s="90" t="b">
        <v>0</v>
      </c>
      <c r="H193" s="90" t="b">
        <v>0</v>
      </c>
      <c r="I193" s="90" t="b">
        <v>0</v>
      </c>
      <c r="J193" s="90" t="b">
        <v>0</v>
      </c>
      <c r="K193" s="90" t="b">
        <v>0</v>
      </c>
      <c r="L193" s="90" t="b">
        <v>0</v>
      </c>
    </row>
    <row r="194" spans="1:12" ht="15">
      <c r="A194" s="87" t="s">
        <v>1794</v>
      </c>
      <c r="B194" s="90" t="s">
        <v>1498</v>
      </c>
      <c r="C194" s="90">
        <v>2</v>
      </c>
      <c r="D194" s="114">
        <v>0.0013492257203121102</v>
      </c>
      <c r="E194" s="114">
        <v>0.5505091368253092</v>
      </c>
      <c r="F194" s="90" t="s">
        <v>2081</v>
      </c>
      <c r="G194" s="90" t="b">
        <v>0</v>
      </c>
      <c r="H194" s="90" t="b">
        <v>0</v>
      </c>
      <c r="I194" s="90" t="b">
        <v>0</v>
      </c>
      <c r="J194" s="90" t="b">
        <v>0</v>
      </c>
      <c r="K194" s="90" t="b">
        <v>1</v>
      </c>
      <c r="L194" s="90" t="b">
        <v>0</v>
      </c>
    </row>
    <row r="195" spans="1:12" ht="15">
      <c r="A195" s="87" t="s">
        <v>1805</v>
      </c>
      <c r="B195" s="90" t="s">
        <v>1793</v>
      </c>
      <c r="C195" s="90">
        <v>2</v>
      </c>
      <c r="D195" s="114">
        <v>0.0013492257203121102</v>
      </c>
      <c r="E195" s="114">
        <v>0.9968923339175675</v>
      </c>
      <c r="F195" s="90" t="s">
        <v>2081</v>
      </c>
      <c r="G195" s="90" t="b">
        <v>0</v>
      </c>
      <c r="H195" s="90" t="b">
        <v>0</v>
      </c>
      <c r="I195" s="90" t="b">
        <v>0</v>
      </c>
      <c r="J195" s="90" t="b">
        <v>0</v>
      </c>
      <c r="K195" s="90" t="b">
        <v>0</v>
      </c>
      <c r="L195" s="90" t="b">
        <v>0</v>
      </c>
    </row>
    <row r="196" spans="1:12" ht="15">
      <c r="A196" s="87" t="s">
        <v>1499</v>
      </c>
      <c r="B196" s="90" t="s">
        <v>1800</v>
      </c>
      <c r="C196" s="90">
        <v>2</v>
      </c>
      <c r="D196" s="114">
        <v>0.0013492257203121102</v>
      </c>
      <c r="E196" s="114">
        <v>0.6666739491261041</v>
      </c>
      <c r="F196" s="90" t="s">
        <v>2081</v>
      </c>
      <c r="G196" s="90" t="b">
        <v>0</v>
      </c>
      <c r="H196" s="90" t="b">
        <v>0</v>
      </c>
      <c r="I196" s="90" t="b">
        <v>0</v>
      </c>
      <c r="J196" s="90" t="b">
        <v>0</v>
      </c>
      <c r="K196" s="90" t="b">
        <v>0</v>
      </c>
      <c r="L196" s="90" t="b">
        <v>0</v>
      </c>
    </row>
    <row r="197" spans="1:12" ht="15">
      <c r="A197" s="87" t="s">
        <v>1499</v>
      </c>
      <c r="B197" s="90" t="s">
        <v>1795</v>
      </c>
      <c r="C197" s="90">
        <v>2</v>
      </c>
      <c r="D197" s="114">
        <v>0.0013492257203121102</v>
      </c>
      <c r="E197" s="114">
        <v>0.5732522639638691</v>
      </c>
      <c r="F197" s="90" t="s">
        <v>2081</v>
      </c>
      <c r="G197" s="90" t="b">
        <v>0</v>
      </c>
      <c r="H197" s="90" t="b">
        <v>0</v>
      </c>
      <c r="I197" s="90" t="b">
        <v>0</v>
      </c>
      <c r="J197" s="90" t="b">
        <v>0</v>
      </c>
      <c r="K197" s="90" t="b">
        <v>0</v>
      </c>
      <c r="L197" s="90" t="b">
        <v>0</v>
      </c>
    </row>
    <row r="198" spans="1:12" ht="15">
      <c r="A198" s="87" t="s">
        <v>1803</v>
      </c>
      <c r="B198" s="90" t="s">
        <v>1800</v>
      </c>
      <c r="C198" s="90">
        <v>2</v>
      </c>
      <c r="D198" s="114">
        <v>0.0013492257203121102</v>
      </c>
      <c r="E198" s="114">
        <v>1.005492505679485</v>
      </c>
      <c r="F198" s="90" t="s">
        <v>2081</v>
      </c>
      <c r="G198" s="90" t="b">
        <v>0</v>
      </c>
      <c r="H198" s="90" t="b">
        <v>0</v>
      </c>
      <c r="I198" s="90" t="b">
        <v>0</v>
      </c>
      <c r="J198" s="90" t="b">
        <v>0</v>
      </c>
      <c r="K198" s="90" t="b">
        <v>0</v>
      </c>
      <c r="L198" s="90" t="b">
        <v>0</v>
      </c>
    </row>
    <row r="199" spans="1:12" ht="15">
      <c r="A199" s="87" t="s">
        <v>1497</v>
      </c>
      <c r="B199" s="90" t="s">
        <v>1800</v>
      </c>
      <c r="C199" s="90">
        <v>2</v>
      </c>
      <c r="D199" s="114">
        <v>0.0013492257203121102</v>
      </c>
      <c r="E199" s="114">
        <v>0.6075524970074475</v>
      </c>
      <c r="F199" s="90" t="s">
        <v>2081</v>
      </c>
      <c r="G199" s="90" t="b">
        <v>0</v>
      </c>
      <c r="H199" s="90" t="b">
        <v>0</v>
      </c>
      <c r="I199" s="90" t="b">
        <v>0</v>
      </c>
      <c r="J199" s="90" t="b">
        <v>0</v>
      </c>
      <c r="K199" s="90" t="b">
        <v>0</v>
      </c>
      <c r="L199" s="90" t="b">
        <v>0</v>
      </c>
    </row>
    <row r="200" spans="1:12" ht="15">
      <c r="A200" s="87" t="s">
        <v>1877</v>
      </c>
      <c r="B200" s="90" t="s">
        <v>1498</v>
      </c>
      <c r="C200" s="90">
        <v>2</v>
      </c>
      <c r="D200" s="114">
        <v>0.0013492257203121102</v>
      </c>
      <c r="E200" s="114">
        <v>1.4535991238172528</v>
      </c>
      <c r="F200" s="90" t="s">
        <v>2081</v>
      </c>
      <c r="G200" s="90" t="b">
        <v>0</v>
      </c>
      <c r="H200" s="90" t="b">
        <v>0</v>
      </c>
      <c r="I200" s="90" t="b">
        <v>0</v>
      </c>
      <c r="J200" s="90" t="b">
        <v>0</v>
      </c>
      <c r="K200" s="90" t="b">
        <v>1</v>
      </c>
      <c r="L200" s="90" t="b">
        <v>0</v>
      </c>
    </row>
    <row r="201" spans="1:12" ht="15">
      <c r="A201" s="87" t="s">
        <v>1813</v>
      </c>
      <c r="B201" s="90" t="s">
        <v>1964</v>
      </c>
      <c r="C201" s="90">
        <v>2</v>
      </c>
      <c r="D201" s="114">
        <v>0.0013492257203121102</v>
      </c>
      <c r="E201" s="114">
        <v>2.365643953462123</v>
      </c>
      <c r="F201" s="90" t="s">
        <v>2081</v>
      </c>
      <c r="G201" s="90" t="b">
        <v>0</v>
      </c>
      <c r="H201" s="90" t="b">
        <v>0</v>
      </c>
      <c r="I201" s="90" t="b">
        <v>0</v>
      </c>
      <c r="J201" s="90" t="b">
        <v>0</v>
      </c>
      <c r="K201" s="90" t="b">
        <v>0</v>
      </c>
      <c r="L201" s="90" t="b">
        <v>0</v>
      </c>
    </row>
    <row r="202" spans="1:12" ht="15">
      <c r="A202" s="87" t="s">
        <v>1796</v>
      </c>
      <c r="B202" s="90" t="s">
        <v>1795</v>
      </c>
      <c r="C202" s="90">
        <v>2</v>
      </c>
      <c r="D202" s="114">
        <v>0.0013492257203121102</v>
      </c>
      <c r="E202" s="114">
        <v>0.7631318075051836</v>
      </c>
      <c r="F202" s="90" t="s">
        <v>2081</v>
      </c>
      <c r="G202" s="90" t="b">
        <v>0</v>
      </c>
      <c r="H202" s="90" t="b">
        <v>0</v>
      </c>
      <c r="I202" s="90" t="b">
        <v>0</v>
      </c>
      <c r="J202" s="90" t="b">
        <v>0</v>
      </c>
      <c r="K202" s="90" t="b">
        <v>0</v>
      </c>
      <c r="L202" s="90" t="b">
        <v>0</v>
      </c>
    </row>
    <row r="203" spans="1:12" ht="15">
      <c r="A203" s="87" t="s">
        <v>1966</v>
      </c>
      <c r="B203" s="90" t="s">
        <v>1853</v>
      </c>
      <c r="C203" s="90">
        <v>2</v>
      </c>
      <c r="D203" s="114">
        <v>0.0013492257203121102</v>
      </c>
      <c r="E203" s="114">
        <v>2.6666739491261042</v>
      </c>
      <c r="F203" s="90" t="s">
        <v>2081</v>
      </c>
      <c r="G203" s="90" t="b">
        <v>0</v>
      </c>
      <c r="H203" s="90" t="b">
        <v>0</v>
      </c>
      <c r="I203" s="90" t="b">
        <v>0</v>
      </c>
      <c r="J203" s="90" t="b">
        <v>0</v>
      </c>
      <c r="K203" s="90" t="b">
        <v>0</v>
      </c>
      <c r="L203" s="90" t="b">
        <v>0</v>
      </c>
    </row>
    <row r="204" spans="1:12" ht="15">
      <c r="A204" s="87" t="s">
        <v>1503</v>
      </c>
      <c r="B204" s="90" t="s">
        <v>1799</v>
      </c>
      <c r="C204" s="90">
        <v>2</v>
      </c>
      <c r="D204" s="114">
        <v>0.0013492257203121102</v>
      </c>
      <c r="E204" s="114">
        <v>0.7868138028526354</v>
      </c>
      <c r="F204" s="90" t="s">
        <v>2081</v>
      </c>
      <c r="G204" s="90" t="b">
        <v>0</v>
      </c>
      <c r="H204" s="90" t="b">
        <v>0</v>
      </c>
      <c r="I204" s="90" t="b">
        <v>0</v>
      </c>
      <c r="J204" s="90" t="b">
        <v>0</v>
      </c>
      <c r="K204" s="90" t="b">
        <v>0</v>
      </c>
      <c r="L204" s="90" t="b">
        <v>0</v>
      </c>
    </row>
    <row r="205" spans="1:12" ht="15">
      <c r="A205" s="87" t="s">
        <v>1499</v>
      </c>
      <c r="B205" s="90" t="s">
        <v>1799</v>
      </c>
      <c r="C205" s="90">
        <v>2</v>
      </c>
      <c r="D205" s="114">
        <v>0.0013492257203121102</v>
      </c>
      <c r="E205" s="114">
        <v>0.6496406098273237</v>
      </c>
      <c r="F205" s="90" t="s">
        <v>2081</v>
      </c>
      <c r="G205" s="90" t="b">
        <v>0</v>
      </c>
      <c r="H205" s="90" t="b">
        <v>0</v>
      </c>
      <c r="I205" s="90" t="b">
        <v>0</v>
      </c>
      <c r="J205" s="90" t="b">
        <v>0</v>
      </c>
      <c r="K205" s="90" t="b">
        <v>0</v>
      </c>
      <c r="L205" s="90" t="b">
        <v>0</v>
      </c>
    </row>
    <row r="206" spans="1:12" ht="15">
      <c r="A206" s="87" t="s">
        <v>1796</v>
      </c>
      <c r="B206" s="90" t="s">
        <v>1499</v>
      </c>
      <c r="C206" s="90">
        <v>2</v>
      </c>
      <c r="D206" s="114">
        <v>0.0013492257203121102</v>
      </c>
      <c r="E206" s="114">
        <v>0.5823956434037387</v>
      </c>
      <c r="F206" s="90" t="s">
        <v>2081</v>
      </c>
      <c r="G206" s="90" t="b">
        <v>0</v>
      </c>
      <c r="H206" s="90" t="b">
        <v>0</v>
      </c>
      <c r="I206" s="90" t="b">
        <v>0</v>
      </c>
      <c r="J206" s="90" t="b">
        <v>0</v>
      </c>
      <c r="K206" s="90" t="b">
        <v>0</v>
      </c>
      <c r="L206" s="90" t="b">
        <v>0</v>
      </c>
    </row>
    <row r="207" spans="1:12" ht="15">
      <c r="A207" s="87" t="s">
        <v>1805</v>
      </c>
      <c r="B207" s="90" t="s">
        <v>539</v>
      </c>
      <c r="C207" s="90">
        <v>2</v>
      </c>
      <c r="D207" s="114">
        <v>0.0013492257203121102</v>
      </c>
      <c r="E207" s="114">
        <v>0.852648442113881</v>
      </c>
      <c r="F207" s="90" t="s">
        <v>2081</v>
      </c>
      <c r="G207" s="90" t="b">
        <v>0</v>
      </c>
      <c r="H207" s="90" t="b">
        <v>0</v>
      </c>
      <c r="I207" s="90" t="b">
        <v>0</v>
      </c>
      <c r="J207" s="90" t="b">
        <v>0</v>
      </c>
      <c r="K207" s="90" t="b">
        <v>0</v>
      </c>
      <c r="L207" s="90" t="b">
        <v>0</v>
      </c>
    </row>
    <row r="208" spans="1:12" ht="15">
      <c r="A208" s="87" t="s">
        <v>539</v>
      </c>
      <c r="B208" s="90" t="s">
        <v>1878</v>
      </c>
      <c r="C208" s="90">
        <v>2</v>
      </c>
      <c r="D208" s="114">
        <v>0.0013492257203121102</v>
      </c>
      <c r="E208" s="114">
        <v>1.4625539664701792</v>
      </c>
      <c r="F208" s="90" t="s">
        <v>2081</v>
      </c>
      <c r="G208" s="90" t="b">
        <v>0</v>
      </c>
      <c r="H208" s="90" t="b">
        <v>0</v>
      </c>
      <c r="I208" s="90" t="b">
        <v>0</v>
      </c>
      <c r="J208" s="90" t="b">
        <v>0</v>
      </c>
      <c r="K208" s="90" t="b">
        <v>0</v>
      </c>
      <c r="L208" s="90" t="b">
        <v>0</v>
      </c>
    </row>
    <row r="209" spans="1:12" ht="15">
      <c r="A209" s="87" t="s">
        <v>1497</v>
      </c>
      <c r="B209" s="90" t="s">
        <v>1802</v>
      </c>
      <c r="C209" s="90">
        <v>2</v>
      </c>
      <c r="D209" s="114">
        <v>0.0013492257203121102</v>
      </c>
      <c r="E209" s="114">
        <v>0.8294012466238039</v>
      </c>
      <c r="F209" s="90" t="s">
        <v>2081</v>
      </c>
      <c r="G209" s="90" t="b">
        <v>0</v>
      </c>
      <c r="H209" s="90" t="b">
        <v>0</v>
      </c>
      <c r="I209" s="90" t="b">
        <v>0</v>
      </c>
      <c r="J209" s="90" t="b">
        <v>0</v>
      </c>
      <c r="K209" s="90" t="b">
        <v>0</v>
      </c>
      <c r="L209" s="90" t="b">
        <v>0</v>
      </c>
    </row>
    <row r="210" spans="1:12" ht="15">
      <c r="A210" s="87" t="s">
        <v>1806</v>
      </c>
      <c r="B210" s="90" t="s">
        <v>1501</v>
      </c>
      <c r="C210" s="90">
        <v>2</v>
      </c>
      <c r="D210" s="114">
        <v>0.0013492257203121102</v>
      </c>
      <c r="E210" s="114">
        <v>0.9396752211898417</v>
      </c>
      <c r="F210" s="90" t="s">
        <v>2081</v>
      </c>
      <c r="G210" s="90" t="b">
        <v>0</v>
      </c>
      <c r="H210" s="90" t="b">
        <v>0</v>
      </c>
      <c r="I210" s="90" t="b">
        <v>0</v>
      </c>
      <c r="J210" s="90" t="b">
        <v>0</v>
      </c>
      <c r="K210" s="90" t="b">
        <v>0</v>
      </c>
      <c r="L210" s="90" t="b">
        <v>0</v>
      </c>
    </row>
    <row r="211" spans="1:12" ht="15">
      <c r="A211" s="87" t="s">
        <v>1496</v>
      </c>
      <c r="B211" s="90" t="s">
        <v>1802</v>
      </c>
      <c r="C211" s="90">
        <v>2</v>
      </c>
      <c r="D211" s="114">
        <v>0.0013492257203121102</v>
      </c>
      <c r="E211" s="114">
        <v>0.25170060115528614</v>
      </c>
      <c r="F211" s="90" t="s">
        <v>2081</v>
      </c>
      <c r="G211" s="90" t="b">
        <v>0</v>
      </c>
      <c r="H211" s="90" t="b">
        <v>0</v>
      </c>
      <c r="I211" s="90" t="b">
        <v>0</v>
      </c>
      <c r="J211" s="90" t="b">
        <v>0</v>
      </c>
      <c r="K211" s="90" t="b">
        <v>0</v>
      </c>
      <c r="L211" s="90" t="b">
        <v>0</v>
      </c>
    </row>
    <row r="212" spans="1:12" ht="15">
      <c r="A212" s="87" t="s">
        <v>1973</v>
      </c>
      <c r="B212" s="90" t="s">
        <v>1974</v>
      </c>
      <c r="C212" s="90">
        <v>2</v>
      </c>
      <c r="D212" s="114">
        <v>0.0013492257203121102</v>
      </c>
      <c r="E212" s="114">
        <v>3.1437952038457664</v>
      </c>
      <c r="F212" s="90" t="s">
        <v>2081</v>
      </c>
      <c r="G212" s="90" t="b">
        <v>0</v>
      </c>
      <c r="H212" s="90" t="b">
        <v>1</v>
      </c>
      <c r="I212" s="90" t="b">
        <v>0</v>
      </c>
      <c r="J212" s="90" t="b">
        <v>0</v>
      </c>
      <c r="K212" s="90" t="b">
        <v>0</v>
      </c>
      <c r="L212" s="90" t="b">
        <v>0</v>
      </c>
    </row>
    <row r="213" spans="1:12" ht="15">
      <c r="A213" s="87" t="s">
        <v>1974</v>
      </c>
      <c r="B213" s="90" t="s">
        <v>1879</v>
      </c>
      <c r="C213" s="90">
        <v>2</v>
      </c>
      <c r="D213" s="114">
        <v>0.0013492257203121102</v>
      </c>
      <c r="E213" s="114">
        <v>2.842765208181785</v>
      </c>
      <c r="F213" s="90" t="s">
        <v>2081</v>
      </c>
      <c r="G213" s="90" t="b">
        <v>0</v>
      </c>
      <c r="H213" s="90" t="b">
        <v>0</v>
      </c>
      <c r="I213" s="90" t="b">
        <v>0</v>
      </c>
      <c r="J213" s="90" t="b">
        <v>0</v>
      </c>
      <c r="K213" s="90" t="b">
        <v>0</v>
      </c>
      <c r="L213" s="90" t="b">
        <v>0</v>
      </c>
    </row>
    <row r="214" spans="1:12" ht="15">
      <c r="A214" s="87" t="s">
        <v>1879</v>
      </c>
      <c r="B214" s="90" t="s">
        <v>1808</v>
      </c>
      <c r="C214" s="90">
        <v>2</v>
      </c>
      <c r="D214" s="114">
        <v>0.0013492257203121102</v>
      </c>
      <c r="E214" s="114">
        <v>2.1437952038457664</v>
      </c>
      <c r="F214" s="90" t="s">
        <v>2081</v>
      </c>
      <c r="G214" s="90" t="b">
        <v>0</v>
      </c>
      <c r="H214" s="90" t="b">
        <v>0</v>
      </c>
      <c r="I214" s="90" t="b">
        <v>0</v>
      </c>
      <c r="J214" s="90" t="b">
        <v>0</v>
      </c>
      <c r="K214" s="90" t="b">
        <v>0</v>
      </c>
      <c r="L214" s="90" t="b">
        <v>0</v>
      </c>
    </row>
    <row r="215" spans="1:12" ht="15">
      <c r="A215" s="87" t="s">
        <v>1498</v>
      </c>
      <c r="B215" s="90" t="s">
        <v>1499</v>
      </c>
      <c r="C215" s="90">
        <v>2</v>
      </c>
      <c r="D215" s="114">
        <v>0.0013492257203121102</v>
      </c>
      <c r="E215" s="114">
        <v>0.3835612572094978</v>
      </c>
      <c r="F215" s="90" t="s">
        <v>2081</v>
      </c>
      <c r="G215" s="90" t="b">
        <v>0</v>
      </c>
      <c r="H215" s="90" t="b">
        <v>1</v>
      </c>
      <c r="I215" s="90" t="b">
        <v>0</v>
      </c>
      <c r="J215" s="90" t="b">
        <v>0</v>
      </c>
      <c r="K215" s="90" t="b">
        <v>0</v>
      </c>
      <c r="L215" s="90" t="b">
        <v>0</v>
      </c>
    </row>
    <row r="216" spans="1:12" ht="15">
      <c r="A216" s="87" t="s">
        <v>1979</v>
      </c>
      <c r="B216" s="90" t="s">
        <v>1811</v>
      </c>
      <c r="C216" s="90">
        <v>2</v>
      </c>
      <c r="D216" s="114">
        <v>0.0013492257203121102</v>
      </c>
      <c r="E216" s="114">
        <v>2.330881847202911</v>
      </c>
      <c r="F216" s="90" t="s">
        <v>2081</v>
      </c>
      <c r="G216" s="90" t="b">
        <v>0</v>
      </c>
      <c r="H216" s="90" t="b">
        <v>0</v>
      </c>
      <c r="I216" s="90" t="b">
        <v>0</v>
      </c>
      <c r="J216" s="90" t="b">
        <v>0</v>
      </c>
      <c r="K216" s="90" t="b">
        <v>0</v>
      </c>
      <c r="L216" s="90" t="b">
        <v>0</v>
      </c>
    </row>
    <row r="217" spans="1:12" ht="15">
      <c r="A217" s="87" t="s">
        <v>1811</v>
      </c>
      <c r="B217" s="90" t="s">
        <v>1498</v>
      </c>
      <c r="C217" s="90">
        <v>2</v>
      </c>
      <c r="D217" s="114">
        <v>0.0013492257203121102</v>
      </c>
      <c r="E217" s="114">
        <v>1.0142664299869903</v>
      </c>
      <c r="F217" s="90" t="s">
        <v>2081</v>
      </c>
      <c r="G217" s="90" t="b">
        <v>0</v>
      </c>
      <c r="H217" s="90" t="b">
        <v>0</v>
      </c>
      <c r="I217" s="90" t="b">
        <v>0</v>
      </c>
      <c r="J217" s="90" t="b">
        <v>0</v>
      </c>
      <c r="K217" s="90" t="b">
        <v>1</v>
      </c>
      <c r="L217" s="90" t="b">
        <v>0</v>
      </c>
    </row>
    <row r="218" spans="1:12" ht="15">
      <c r="A218" s="87" t="s">
        <v>1498</v>
      </c>
      <c r="B218" s="90" t="s">
        <v>1500</v>
      </c>
      <c r="C218" s="90">
        <v>2</v>
      </c>
      <c r="D218" s="114">
        <v>0.0013492257203121102</v>
      </c>
      <c r="E218" s="114">
        <v>0.42219065956562873</v>
      </c>
      <c r="F218" s="90" t="s">
        <v>2081</v>
      </c>
      <c r="G218" s="90" t="b">
        <v>0</v>
      </c>
      <c r="H218" s="90" t="b">
        <v>1</v>
      </c>
      <c r="I218" s="90" t="b">
        <v>0</v>
      </c>
      <c r="J218" s="90" t="b">
        <v>0</v>
      </c>
      <c r="K218" s="90" t="b">
        <v>0</v>
      </c>
      <c r="L218" s="90" t="b">
        <v>0</v>
      </c>
    </row>
    <row r="219" spans="1:12" ht="15">
      <c r="A219" s="87" t="s">
        <v>1503</v>
      </c>
      <c r="B219" s="90" t="s">
        <v>1800</v>
      </c>
      <c r="C219" s="90">
        <v>2</v>
      </c>
      <c r="D219" s="114">
        <v>0.0013492257203121102</v>
      </c>
      <c r="E219" s="114">
        <v>0.8038471421514156</v>
      </c>
      <c r="F219" s="90" t="s">
        <v>2081</v>
      </c>
      <c r="G219" s="90" t="b">
        <v>0</v>
      </c>
      <c r="H219" s="90" t="b">
        <v>0</v>
      </c>
      <c r="I219" s="90" t="b">
        <v>0</v>
      </c>
      <c r="J219" s="90" t="b">
        <v>0</v>
      </c>
      <c r="K219" s="90" t="b">
        <v>0</v>
      </c>
      <c r="L219" s="90" t="b">
        <v>0</v>
      </c>
    </row>
    <row r="220" spans="1:12" ht="15">
      <c r="A220" s="87" t="s">
        <v>539</v>
      </c>
      <c r="B220" s="90" t="s">
        <v>1820</v>
      </c>
      <c r="C220" s="90">
        <v>2</v>
      </c>
      <c r="D220" s="114">
        <v>0.0013492257203121102</v>
      </c>
      <c r="E220" s="114">
        <v>1.219515917783885</v>
      </c>
      <c r="F220" s="90" t="s">
        <v>2081</v>
      </c>
      <c r="G220" s="90" t="b">
        <v>0</v>
      </c>
      <c r="H220" s="90" t="b">
        <v>0</v>
      </c>
      <c r="I220" s="90" t="b">
        <v>0</v>
      </c>
      <c r="J220" s="90" t="b">
        <v>0</v>
      </c>
      <c r="K220" s="90" t="b">
        <v>0</v>
      </c>
      <c r="L220" s="90" t="b">
        <v>0</v>
      </c>
    </row>
    <row r="221" spans="1:12" ht="15">
      <c r="A221" s="87" t="s">
        <v>1907</v>
      </c>
      <c r="B221" s="90" t="s">
        <v>1909</v>
      </c>
      <c r="C221" s="90">
        <v>2</v>
      </c>
      <c r="D221" s="114">
        <v>0.0013492257203121102</v>
      </c>
      <c r="E221" s="114">
        <v>2.9677039447900855</v>
      </c>
      <c r="F221" s="90" t="s">
        <v>2081</v>
      </c>
      <c r="G221" s="90" t="b">
        <v>0</v>
      </c>
      <c r="H221" s="90" t="b">
        <v>0</v>
      </c>
      <c r="I221" s="90" t="b">
        <v>0</v>
      </c>
      <c r="J221" s="90" t="b">
        <v>0</v>
      </c>
      <c r="K221" s="90" t="b">
        <v>0</v>
      </c>
      <c r="L221" s="90" t="b">
        <v>0</v>
      </c>
    </row>
    <row r="222" spans="1:12" ht="15">
      <c r="A222" s="87" t="s">
        <v>1499</v>
      </c>
      <c r="B222" s="90" t="s">
        <v>1797</v>
      </c>
      <c r="C222" s="90">
        <v>2</v>
      </c>
      <c r="D222" s="114">
        <v>0.0013492257203121102</v>
      </c>
      <c r="E222" s="114">
        <v>0.5874927030784792</v>
      </c>
      <c r="F222" s="90" t="s">
        <v>2081</v>
      </c>
      <c r="G222" s="90" t="b">
        <v>0</v>
      </c>
      <c r="H222" s="90" t="b">
        <v>0</v>
      </c>
      <c r="I222" s="90" t="b">
        <v>0</v>
      </c>
      <c r="J222" s="90" t="b">
        <v>0</v>
      </c>
      <c r="K222" s="90" t="b">
        <v>0</v>
      </c>
      <c r="L222" s="90" t="b">
        <v>0</v>
      </c>
    </row>
    <row r="223" spans="1:12" ht="15">
      <c r="A223" s="87" t="s">
        <v>1503</v>
      </c>
      <c r="B223" s="90" t="s">
        <v>1820</v>
      </c>
      <c r="C223" s="90">
        <v>2</v>
      </c>
      <c r="D223" s="114">
        <v>0.0013492257203121102</v>
      </c>
      <c r="E223" s="114">
        <v>1.3566891108091965</v>
      </c>
      <c r="F223" s="90" t="s">
        <v>2081</v>
      </c>
      <c r="G223" s="90" t="b">
        <v>0</v>
      </c>
      <c r="H223" s="90" t="b">
        <v>0</v>
      </c>
      <c r="I223" s="90" t="b">
        <v>0</v>
      </c>
      <c r="J223" s="90" t="b">
        <v>0</v>
      </c>
      <c r="K223" s="90" t="b">
        <v>0</v>
      </c>
      <c r="L223" s="90" t="b">
        <v>0</v>
      </c>
    </row>
    <row r="224" spans="1:12" ht="15">
      <c r="A224" s="87" t="s">
        <v>1496</v>
      </c>
      <c r="B224" s="90" t="s">
        <v>1498</v>
      </c>
      <c r="C224" s="90">
        <v>2</v>
      </c>
      <c r="D224" s="114">
        <v>0.0013492257203121102</v>
      </c>
      <c r="E224" s="114">
        <v>-0.2624042198175463</v>
      </c>
      <c r="F224" s="90" t="s">
        <v>2081</v>
      </c>
      <c r="G224" s="90" t="b">
        <v>0</v>
      </c>
      <c r="H224" s="90" t="b">
        <v>0</v>
      </c>
      <c r="I224" s="90" t="b">
        <v>0</v>
      </c>
      <c r="J224" s="90" t="b">
        <v>0</v>
      </c>
      <c r="K224" s="90" t="b">
        <v>1</v>
      </c>
      <c r="L224" s="90" t="b">
        <v>0</v>
      </c>
    </row>
    <row r="225" spans="1:12" ht="15">
      <c r="A225" s="87" t="s">
        <v>1992</v>
      </c>
      <c r="B225" s="90" t="s">
        <v>1501</v>
      </c>
      <c r="C225" s="90">
        <v>2</v>
      </c>
      <c r="D225" s="114">
        <v>0.0013492257203121102</v>
      </c>
      <c r="E225" s="114">
        <v>1.8427652081817854</v>
      </c>
      <c r="F225" s="90" t="s">
        <v>2081</v>
      </c>
      <c r="G225" s="90" t="b">
        <v>0</v>
      </c>
      <c r="H225" s="90" t="b">
        <v>0</v>
      </c>
      <c r="I225" s="90" t="b">
        <v>0</v>
      </c>
      <c r="J225" s="90" t="b">
        <v>0</v>
      </c>
      <c r="K225" s="90" t="b">
        <v>0</v>
      </c>
      <c r="L225" s="90" t="b">
        <v>0</v>
      </c>
    </row>
    <row r="226" spans="1:12" ht="15">
      <c r="A226" s="87" t="s">
        <v>1872</v>
      </c>
      <c r="B226" s="90" t="s">
        <v>1498</v>
      </c>
      <c r="C226" s="90">
        <v>2</v>
      </c>
      <c r="D226" s="114">
        <v>0.0013492257203121102</v>
      </c>
      <c r="E226" s="114">
        <v>1.4535991238172528</v>
      </c>
      <c r="F226" s="90" t="s">
        <v>2081</v>
      </c>
      <c r="G226" s="90" t="b">
        <v>0</v>
      </c>
      <c r="H226" s="90" t="b">
        <v>0</v>
      </c>
      <c r="I226" s="90" t="b">
        <v>0</v>
      </c>
      <c r="J226" s="90" t="b">
        <v>0</v>
      </c>
      <c r="K226" s="90" t="b">
        <v>1</v>
      </c>
      <c r="L226" s="90" t="b">
        <v>0</v>
      </c>
    </row>
    <row r="227" spans="1:12" ht="15">
      <c r="A227" s="87" t="s">
        <v>539</v>
      </c>
      <c r="B227" s="90" t="s">
        <v>1501</v>
      </c>
      <c r="C227" s="90">
        <v>2</v>
      </c>
      <c r="D227" s="114">
        <v>0.0013492257203121102</v>
      </c>
      <c r="E227" s="114">
        <v>0.4625539664701793</v>
      </c>
      <c r="F227" s="90" t="s">
        <v>2081</v>
      </c>
      <c r="G227" s="90" t="b">
        <v>0</v>
      </c>
      <c r="H227" s="90" t="b">
        <v>0</v>
      </c>
      <c r="I227" s="90" t="b">
        <v>0</v>
      </c>
      <c r="J227" s="90" t="b">
        <v>0</v>
      </c>
      <c r="K227" s="90" t="b">
        <v>0</v>
      </c>
      <c r="L227" s="90" t="b">
        <v>0</v>
      </c>
    </row>
    <row r="228" spans="1:12" ht="15">
      <c r="A228" s="87" t="s">
        <v>1794</v>
      </c>
      <c r="B228" s="90" t="s">
        <v>1818</v>
      </c>
      <c r="C228" s="90">
        <v>2</v>
      </c>
      <c r="D228" s="114">
        <v>0.0013492257203121102</v>
      </c>
      <c r="E228" s="114">
        <v>1.4625539664701792</v>
      </c>
      <c r="F228" s="90" t="s">
        <v>2081</v>
      </c>
      <c r="G228" s="90" t="b">
        <v>0</v>
      </c>
      <c r="H228" s="90" t="b">
        <v>0</v>
      </c>
      <c r="I228" s="90" t="b">
        <v>0</v>
      </c>
      <c r="J228" s="90" t="b">
        <v>0</v>
      </c>
      <c r="K228" s="90" t="b">
        <v>0</v>
      </c>
      <c r="L228" s="90" t="b">
        <v>0</v>
      </c>
    </row>
    <row r="229" spans="1:12" ht="15">
      <c r="A229" s="87" t="s">
        <v>1500</v>
      </c>
      <c r="B229" s="90" t="s">
        <v>1499</v>
      </c>
      <c r="C229" s="90">
        <v>2</v>
      </c>
      <c r="D229" s="114">
        <v>0.0013492257203121102</v>
      </c>
      <c r="E229" s="114">
        <v>0.4939737406212013</v>
      </c>
      <c r="F229" s="90" t="s">
        <v>2081</v>
      </c>
      <c r="G229" s="90" t="b">
        <v>0</v>
      </c>
      <c r="H229" s="90" t="b">
        <v>0</v>
      </c>
      <c r="I229" s="90" t="b">
        <v>0</v>
      </c>
      <c r="J229" s="90" t="b">
        <v>0</v>
      </c>
      <c r="K229" s="90" t="b">
        <v>0</v>
      </c>
      <c r="L229" s="90" t="b">
        <v>0</v>
      </c>
    </row>
    <row r="230" spans="1:12" ht="15">
      <c r="A230" s="87" t="s">
        <v>1498</v>
      </c>
      <c r="B230" s="90" t="s">
        <v>1799</v>
      </c>
      <c r="C230" s="90">
        <v>2</v>
      </c>
      <c r="D230" s="114">
        <v>0.0013492257203121102</v>
      </c>
      <c r="E230" s="114">
        <v>0.6406857671743973</v>
      </c>
      <c r="F230" s="90" t="s">
        <v>2081</v>
      </c>
      <c r="G230" s="90" t="b">
        <v>0</v>
      </c>
      <c r="H230" s="90" t="b">
        <v>1</v>
      </c>
      <c r="I230" s="90" t="b">
        <v>0</v>
      </c>
      <c r="J230" s="90" t="b">
        <v>0</v>
      </c>
      <c r="K230" s="90" t="b">
        <v>0</v>
      </c>
      <c r="L230" s="90" t="b">
        <v>0</v>
      </c>
    </row>
    <row r="231" spans="1:12" ht="15">
      <c r="A231" s="87" t="s">
        <v>1799</v>
      </c>
      <c r="B231" s="90" t="s">
        <v>1501</v>
      </c>
      <c r="C231" s="90">
        <v>2</v>
      </c>
      <c r="D231" s="114">
        <v>0.0013492257203121102</v>
      </c>
      <c r="E231" s="114">
        <v>0.7458551951737289</v>
      </c>
      <c r="F231" s="90" t="s">
        <v>2081</v>
      </c>
      <c r="G231" s="90" t="b">
        <v>0</v>
      </c>
      <c r="H231" s="90" t="b">
        <v>0</v>
      </c>
      <c r="I231" s="90" t="b">
        <v>0</v>
      </c>
      <c r="J231" s="90" t="b">
        <v>0</v>
      </c>
      <c r="K231" s="90" t="b">
        <v>0</v>
      </c>
      <c r="L231" s="90" t="b">
        <v>0</v>
      </c>
    </row>
    <row r="232" spans="1:12" ht="15">
      <c r="A232" s="87" t="s">
        <v>2000</v>
      </c>
      <c r="B232" s="90" t="s">
        <v>539</v>
      </c>
      <c r="C232" s="90">
        <v>2</v>
      </c>
      <c r="D232" s="114">
        <v>0.0013492257203121102</v>
      </c>
      <c r="E232" s="114">
        <v>1.7820673678281735</v>
      </c>
      <c r="F232" s="90" t="s">
        <v>2081</v>
      </c>
      <c r="G232" s="90" t="b">
        <v>0</v>
      </c>
      <c r="H232" s="90" t="b">
        <v>0</v>
      </c>
      <c r="I232" s="90" t="b">
        <v>0</v>
      </c>
      <c r="J232" s="90" t="b">
        <v>0</v>
      </c>
      <c r="K232" s="90" t="b">
        <v>0</v>
      </c>
      <c r="L232" s="90" t="b">
        <v>0</v>
      </c>
    </row>
    <row r="233" spans="1:12" ht="15">
      <c r="A233" s="87" t="s">
        <v>1810</v>
      </c>
      <c r="B233" s="90" t="s">
        <v>1804</v>
      </c>
      <c r="C233" s="90">
        <v>2</v>
      </c>
      <c r="D233" s="114">
        <v>0.0013492257203121102</v>
      </c>
      <c r="E233" s="114">
        <v>1.309692548132973</v>
      </c>
      <c r="F233" s="90" t="s">
        <v>2081</v>
      </c>
      <c r="G233" s="90" t="b">
        <v>0</v>
      </c>
      <c r="H233" s="90" t="b">
        <v>0</v>
      </c>
      <c r="I233" s="90" t="b">
        <v>0</v>
      </c>
      <c r="J233" s="90" t="b">
        <v>0</v>
      </c>
      <c r="K233" s="90" t="b">
        <v>0</v>
      </c>
      <c r="L233" s="90" t="b">
        <v>0</v>
      </c>
    </row>
    <row r="234" spans="1:12" ht="15">
      <c r="A234" s="87" t="s">
        <v>2003</v>
      </c>
      <c r="B234" s="90" t="s">
        <v>1810</v>
      </c>
      <c r="C234" s="90">
        <v>2</v>
      </c>
      <c r="D234" s="114">
        <v>0.0013492257203121102</v>
      </c>
      <c r="E234" s="114">
        <v>2.2986971638315095</v>
      </c>
      <c r="F234" s="90" t="s">
        <v>2081</v>
      </c>
      <c r="G234" s="90" t="b">
        <v>0</v>
      </c>
      <c r="H234" s="90" t="b">
        <v>1</v>
      </c>
      <c r="I234" s="90" t="b">
        <v>0</v>
      </c>
      <c r="J234" s="90" t="b">
        <v>0</v>
      </c>
      <c r="K234" s="90" t="b">
        <v>0</v>
      </c>
      <c r="L234" s="90" t="b">
        <v>0</v>
      </c>
    </row>
    <row r="235" spans="1:12" ht="15">
      <c r="A235" s="87" t="s">
        <v>1794</v>
      </c>
      <c r="B235" s="90" t="s">
        <v>1793</v>
      </c>
      <c r="C235" s="90">
        <v>2</v>
      </c>
      <c r="D235" s="114">
        <v>0.0013492257203121102</v>
      </c>
      <c r="E235" s="114">
        <v>0.7221912769759354</v>
      </c>
      <c r="F235" s="90" t="s">
        <v>2081</v>
      </c>
      <c r="G235" s="90" t="b">
        <v>0</v>
      </c>
      <c r="H235" s="90" t="b">
        <v>0</v>
      </c>
      <c r="I235" s="90" t="b">
        <v>0</v>
      </c>
      <c r="J235" s="90" t="b">
        <v>0</v>
      </c>
      <c r="K235" s="90" t="b">
        <v>0</v>
      </c>
      <c r="L235" s="90" t="b">
        <v>0</v>
      </c>
    </row>
    <row r="236" spans="1:12" ht="15">
      <c r="A236" s="87" t="s">
        <v>1859</v>
      </c>
      <c r="B236" s="90" t="s">
        <v>1855</v>
      </c>
      <c r="C236" s="90">
        <v>2</v>
      </c>
      <c r="D236" s="114">
        <v>0.0013492257203121102</v>
      </c>
      <c r="E236" s="114">
        <v>2.3479151865016914</v>
      </c>
      <c r="F236" s="90" t="s">
        <v>2081</v>
      </c>
      <c r="G236" s="90" t="b">
        <v>0</v>
      </c>
      <c r="H236" s="90" t="b">
        <v>0</v>
      </c>
      <c r="I236" s="90" t="b">
        <v>0</v>
      </c>
      <c r="J236" s="90" t="b">
        <v>0</v>
      </c>
      <c r="K236" s="90" t="b">
        <v>0</v>
      </c>
      <c r="L236" s="90" t="b">
        <v>0</v>
      </c>
    </row>
    <row r="237" spans="1:12" ht="15">
      <c r="A237" s="87" t="s">
        <v>1830</v>
      </c>
      <c r="B237" s="90" t="s">
        <v>1796</v>
      </c>
      <c r="C237" s="90">
        <v>2</v>
      </c>
      <c r="D237" s="114">
        <v>0.0013492257203121102</v>
      </c>
      <c r="E237" s="114">
        <v>1.4093954613251993</v>
      </c>
      <c r="F237" s="90" t="s">
        <v>2081</v>
      </c>
      <c r="G237" s="90" t="b">
        <v>0</v>
      </c>
      <c r="H237" s="90" t="b">
        <v>0</v>
      </c>
      <c r="I237" s="90" t="b">
        <v>0</v>
      </c>
      <c r="J237" s="90" t="b">
        <v>0</v>
      </c>
      <c r="K237" s="90" t="b">
        <v>0</v>
      </c>
      <c r="L237" s="90" t="b">
        <v>0</v>
      </c>
    </row>
    <row r="238" spans="1:12" ht="15">
      <c r="A238" s="87" t="s">
        <v>1865</v>
      </c>
      <c r="B238" s="90" t="s">
        <v>2008</v>
      </c>
      <c r="C238" s="90">
        <v>2</v>
      </c>
      <c r="D238" s="114">
        <v>0.0013492257203121102</v>
      </c>
      <c r="E238" s="114">
        <v>2.842765208181785</v>
      </c>
      <c r="F238" s="90" t="s">
        <v>2081</v>
      </c>
      <c r="G238" s="90" t="b">
        <v>0</v>
      </c>
      <c r="H238" s="90" t="b">
        <v>0</v>
      </c>
      <c r="I238" s="90" t="b">
        <v>0</v>
      </c>
      <c r="J238" s="90" t="b">
        <v>0</v>
      </c>
      <c r="K238" s="90" t="b">
        <v>0</v>
      </c>
      <c r="L238" s="90" t="b">
        <v>0</v>
      </c>
    </row>
    <row r="239" spans="1:12" ht="15">
      <c r="A239" s="87" t="s">
        <v>2008</v>
      </c>
      <c r="B239" s="90" t="s">
        <v>2009</v>
      </c>
      <c r="C239" s="90">
        <v>2</v>
      </c>
      <c r="D239" s="114">
        <v>0.0013492257203121102</v>
      </c>
      <c r="E239" s="114">
        <v>3.1437952038457664</v>
      </c>
      <c r="F239" s="90" t="s">
        <v>2081</v>
      </c>
      <c r="G239" s="90" t="b">
        <v>0</v>
      </c>
      <c r="H239" s="90" t="b">
        <v>0</v>
      </c>
      <c r="I239" s="90" t="b">
        <v>0</v>
      </c>
      <c r="J239" s="90" t="b">
        <v>1</v>
      </c>
      <c r="K239" s="90" t="b">
        <v>0</v>
      </c>
      <c r="L239" s="90" t="b">
        <v>0</v>
      </c>
    </row>
    <row r="240" spans="1:12" ht="15">
      <c r="A240" s="87" t="s">
        <v>2009</v>
      </c>
      <c r="B240" s="90" t="s">
        <v>2010</v>
      </c>
      <c r="C240" s="90">
        <v>2</v>
      </c>
      <c r="D240" s="114">
        <v>0.0013492257203121102</v>
      </c>
      <c r="E240" s="114">
        <v>3.1437952038457664</v>
      </c>
      <c r="F240" s="90" t="s">
        <v>2081</v>
      </c>
      <c r="G240" s="90" t="b">
        <v>1</v>
      </c>
      <c r="H240" s="90" t="b">
        <v>0</v>
      </c>
      <c r="I240" s="90" t="b">
        <v>0</v>
      </c>
      <c r="J240" s="90" t="b">
        <v>0</v>
      </c>
      <c r="K240" s="90" t="b">
        <v>0</v>
      </c>
      <c r="L240" s="90" t="b">
        <v>0</v>
      </c>
    </row>
    <row r="241" spans="1:12" ht="15">
      <c r="A241" s="87" t="s">
        <v>2010</v>
      </c>
      <c r="B241" s="90" t="s">
        <v>1495</v>
      </c>
      <c r="C241" s="90">
        <v>2</v>
      </c>
      <c r="D241" s="114">
        <v>0.0013492257203121102</v>
      </c>
      <c r="E241" s="114">
        <v>1.1184893385809962</v>
      </c>
      <c r="F241" s="90" t="s">
        <v>2081</v>
      </c>
      <c r="G241" s="90" t="b">
        <v>0</v>
      </c>
      <c r="H241" s="90" t="b">
        <v>0</v>
      </c>
      <c r="I241" s="90" t="b">
        <v>0</v>
      </c>
      <c r="J241" s="90" t="b">
        <v>0</v>
      </c>
      <c r="K241" s="90" t="b">
        <v>0</v>
      </c>
      <c r="L241" s="90" t="b">
        <v>0</v>
      </c>
    </row>
    <row r="242" spans="1:12" ht="15">
      <c r="A242" s="87" t="s">
        <v>1496</v>
      </c>
      <c r="B242" s="90" t="s">
        <v>2011</v>
      </c>
      <c r="C242" s="90">
        <v>2</v>
      </c>
      <c r="D242" s="114">
        <v>0.0013492257203121102</v>
      </c>
      <c r="E242" s="114">
        <v>1.1267618645469861</v>
      </c>
      <c r="F242" s="90" t="s">
        <v>2081</v>
      </c>
      <c r="G242" s="90" t="b">
        <v>0</v>
      </c>
      <c r="H242" s="90" t="b">
        <v>0</v>
      </c>
      <c r="I242" s="90" t="b">
        <v>0</v>
      </c>
      <c r="J242" s="90" t="b">
        <v>0</v>
      </c>
      <c r="K242" s="90" t="b">
        <v>0</v>
      </c>
      <c r="L242" s="90" t="b">
        <v>0</v>
      </c>
    </row>
    <row r="243" spans="1:12" ht="15">
      <c r="A243" s="87" t="s">
        <v>2011</v>
      </c>
      <c r="B243" s="90" t="s">
        <v>2012</v>
      </c>
      <c r="C243" s="90">
        <v>2</v>
      </c>
      <c r="D243" s="114">
        <v>0.0013492257203121102</v>
      </c>
      <c r="E243" s="114">
        <v>3.1437952038457664</v>
      </c>
      <c r="F243" s="90" t="s">
        <v>2081</v>
      </c>
      <c r="G243" s="90" t="b">
        <v>0</v>
      </c>
      <c r="H243" s="90" t="b">
        <v>0</v>
      </c>
      <c r="I243" s="90" t="b">
        <v>0</v>
      </c>
      <c r="J243" s="90" t="b">
        <v>0</v>
      </c>
      <c r="K243" s="90" t="b">
        <v>0</v>
      </c>
      <c r="L243" s="90" t="b">
        <v>0</v>
      </c>
    </row>
    <row r="244" spans="1:12" ht="15">
      <c r="A244" s="87" t="s">
        <v>321</v>
      </c>
      <c r="B244" s="90" t="s">
        <v>320</v>
      </c>
      <c r="C244" s="90">
        <v>2</v>
      </c>
      <c r="D244" s="114">
        <v>0.0013492257203121102</v>
      </c>
      <c r="E244" s="114">
        <v>2.842765208181785</v>
      </c>
      <c r="F244" s="90" t="s">
        <v>2081</v>
      </c>
      <c r="G244" s="90" t="b">
        <v>0</v>
      </c>
      <c r="H244" s="90" t="b">
        <v>0</v>
      </c>
      <c r="I244" s="90" t="b">
        <v>0</v>
      </c>
      <c r="J244" s="90" t="b">
        <v>0</v>
      </c>
      <c r="K244" s="90" t="b">
        <v>0</v>
      </c>
      <c r="L244" s="90" t="b">
        <v>0</v>
      </c>
    </row>
    <row r="245" spans="1:12" ht="15">
      <c r="A245" s="87" t="s">
        <v>2013</v>
      </c>
      <c r="B245" s="90" t="s">
        <v>2014</v>
      </c>
      <c r="C245" s="90">
        <v>2</v>
      </c>
      <c r="D245" s="114">
        <v>0.0013492257203121102</v>
      </c>
      <c r="E245" s="114">
        <v>3.1437952038457664</v>
      </c>
      <c r="F245" s="90" t="s">
        <v>2081</v>
      </c>
      <c r="G245" s="90" t="b">
        <v>0</v>
      </c>
      <c r="H245" s="90" t="b">
        <v>0</v>
      </c>
      <c r="I245" s="90" t="b">
        <v>0</v>
      </c>
      <c r="J245" s="90" t="b">
        <v>0</v>
      </c>
      <c r="K245" s="90" t="b">
        <v>0</v>
      </c>
      <c r="L245" s="90" t="b">
        <v>0</v>
      </c>
    </row>
    <row r="246" spans="1:12" ht="15">
      <c r="A246" s="87" t="s">
        <v>1874</v>
      </c>
      <c r="B246" s="90" t="s">
        <v>1495</v>
      </c>
      <c r="C246" s="90">
        <v>2</v>
      </c>
      <c r="D246" s="114">
        <v>0.0013492257203121102</v>
      </c>
      <c r="E246" s="114">
        <v>0.9423980795253151</v>
      </c>
      <c r="F246" s="90" t="s">
        <v>2081</v>
      </c>
      <c r="G246" s="90" t="b">
        <v>0</v>
      </c>
      <c r="H246" s="90" t="b">
        <v>0</v>
      </c>
      <c r="I246" s="90" t="b">
        <v>0</v>
      </c>
      <c r="J246" s="90" t="b">
        <v>0</v>
      </c>
      <c r="K246" s="90" t="b">
        <v>0</v>
      </c>
      <c r="L246" s="90" t="b">
        <v>0</v>
      </c>
    </row>
    <row r="247" spans="1:12" ht="15">
      <c r="A247" s="87" t="s">
        <v>1496</v>
      </c>
      <c r="B247" s="90" t="s">
        <v>1923</v>
      </c>
      <c r="C247" s="90">
        <v>2</v>
      </c>
      <c r="D247" s="114">
        <v>0.0013492257203121102</v>
      </c>
      <c r="E247" s="114">
        <v>0.950670605491305</v>
      </c>
      <c r="F247" s="90" t="s">
        <v>2081</v>
      </c>
      <c r="G247" s="90" t="b">
        <v>0</v>
      </c>
      <c r="H247" s="90" t="b">
        <v>0</v>
      </c>
      <c r="I247" s="90" t="b">
        <v>0</v>
      </c>
      <c r="J247" s="90" t="b">
        <v>0</v>
      </c>
      <c r="K247" s="90" t="b">
        <v>0</v>
      </c>
      <c r="L247" s="90" t="b">
        <v>0</v>
      </c>
    </row>
    <row r="248" spans="1:12" ht="15">
      <c r="A248" s="87" t="s">
        <v>2022</v>
      </c>
      <c r="B248" s="90" t="s">
        <v>539</v>
      </c>
      <c r="C248" s="90">
        <v>2</v>
      </c>
      <c r="D248" s="114">
        <v>0.0013492257203121102</v>
      </c>
      <c r="E248" s="114">
        <v>1.7820673678281735</v>
      </c>
      <c r="F248" s="90" t="s">
        <v>2081</v>
      </c>
      <c r="G248" s="90" t="b">
        <v>0</v>
      </c>
      <c r="H248" s="90" t="b">
        <v>0</v>
      </c>
      <c r="I248" s="90" t="b">
        <v>0</v>
      </c>
      <c r="J248" s="90" t="b">
        <v>0</v>
      </c>
      <c r="K248" s="90" t="b">
        <v>0</v>
      </c>
      <c r="L248" s="90" t="b">
        <v>0</v>
      </c>
    </row>
    <row r="249" spans="1:12" ht="15">
      <c r="A249" s="87" t="s">
        <v>539</v>
      </c>
      <c r="B249" s="90" t="s">
        <v>2023</v>
      </c>
      <c r="C249" s="90">
        <v>2</v>
      </c>
      <c r="D249" s="114">
        <v>0.0013492257203121102</v>
      </c>
      <c r="E249" s="114">
        <v>1.7635839621341605</v>
      </c>
      <c r="F249" s="90" t="s">
        <v>2081</v>
      </c>
      <c r="G249" s="90" t="b">
        <v>0</v>
      </c>
      <c r="H249" s="90" t="b">
        <v>0</v>
      </c>
      <c r="I249" s="90" t="b">
        <v>0</v>
      </c>
      <c r="J249" s="90" t="b">
        <v>0</v>
      </c>
      <c r="K249" s="90" t="b">
        <v>1</v>
      </c>
      <c r="L249" s="90" t="b">
        <v>0</v>
      </c>
    </row>
    <row r="250" spans="1:12" ht="15">
      <c r="A250" s="87" t="s">
        <v>2023</v>
      </c>
      <c r="B250" s="90" t="s">
        <v>1811</v>
      </c>
      <c r="C250" s="90">
        <v>2</v>
      </c>
      <c r="D250" s="114">
        <v>0.0013492257203121102</v>
      </c>
      <c r="E250" s="114">
        <v>2.330881847202911</v>
      </c>
      <c r="F250" s="90" t="s">
        <v>2081</v>
      </c>
      <c r="G250" s="90" t="b">
        <v>0</v>
      </c>
      <c r="H250" s="90" t="b">
        <v>1</v>
      </c>
      <c r="I250" s="90" t="b">
        <v>0</v>
      </c>
      <c r="J250" s="90" t="b">
        <v>0</v>
      </c>
      <c r="K250" s="90" t="b">
        <v>0</v>
      </c>
      <c r="L250" s="90" t="b">
        <v>0</v>
      </c>
    </row>
    <row r="251" spans="1:12" ht="15">
      <c r="A251" s="87" t="s">
        <v>1811</v>
      </c>
      <c r="B251" s="90" t="s">
        <v>1495</v>
      </c>
      <c r="C251" s="90">
        <v>2</v>
      </c>
      <c r="D251" s="114">
        <v>0.0013492257203121102</v>
      </c>
      <c r="E251" s="114">
        <v>0.37812664908675236</v>
      </c>
      <c r="F251" s="90" t="s">
        <v>2081</v>
      </c>
      <c r="G251" s="90" t="b">
        <v>0</v>
      </c>
      <c r="H251" s="90" t="b">
        <v>0</v>
      </c>
      <c r="I251" s="90" t="b">
        <v>0</v>
      </c>
      <c r="J251" s="90" t="b">
        <v>0</v>
      </c>
      <c r="K251" s="90" t="b">
        <v>0</v>
      </c>
      <c r="L251" s="90" t="b">
        <v>0</v>
      </c>
    </row>
    <row r="252" spans="1:12" ht="15">
      <c r="A252" s="87" t="s">
        <v>1495</v>
      </c>
      <c r="B252" s="90" t="s">
        <v>2024</v>
      </c>
      <c r="C252" s="90">
        <v>2</v>
      </c>
      <c r="D252" s="114">
        <v>0.0013492257203121102</v>
      </c>
      <c r="E252" s="114">
        <v>1.1024025186875415</v>
      </c>
      <c r="F252" s="90" t="s">
        <v>2081</v>
      </c>
      <c r="G252" s="90" t="b">
        <v>0</v>
      </c>
      <c r="H252" s="90" t="b">
        <v>0</v>
      </c>
      <c r="I252" s="90" t="b">
        <v>0</v>
      </c>
      <c r="J252" s="90" t="b">
        <v>0</v>
      </c>
      <c r="K252" s="90" t="b">
        <v>0</v>
      </c>
      <c r="L252" s="90" t="b">
        <v>0</v>
      </c>
    </row>
    <row r="253" spans="1:12" ht="15">
      <c r="A253" s="87" t="s">
        <v>2024</v>
      </c>
      <c r="B253" s="90" t="s">
        <v>2025</v>
      </c>
      <c r="C253" s="90">
        <v>2</v>
      </c>
      <c r="D253" s="114">
        <v>0.0013492257203121102</v>
      </c>
      <c r="E253" s="114">
        <v>3.1437952038457664</v>
      </c>
      <c r="F253" s="90" t="s">
        <v>2081</v>
      </c>
      <c r="G253" s="90" t="b">
        <v>0</v>
      </c>
      <c r="H253" s="90" t="b">
        <v>0</v>
      </c>
      <c r="I253" s="90" t="b">
        <v>0</v>
      </c>
      <c r="J253" s="90" t="b">
        <v>0</v>
      </c>
      <c r="K253" s="90" t="b">
        <v>0</v>
      </c>
      <c r="L253" s="90" t="b">
        <v>0</v>
      </c>
    </row>
    <row r="254" spans="1:12" ht="15">
      <c r="A254" s="87" t="s">
        <v>2025</v>
      </c>
      <c r="B254" s="90" t="s">
        <v>2026</v>
      </c>
      <c r="C254" s="90">
        <v>2</v>
      </c>
      <c r="D254" s="114">
        <v>0.0013492257203121102</v>
      </c>
      <c r="E254" s="114">
        <v>3.1437952038457664</v>
      </c>
      <c r="F254" s="90" t="s">
        <v>2081</v>
      </c>
      <c r="G254" s="90" t="b">
        <v>0</v>
      </c>
      <c r="H254" s="90" t="b">
        <v>0</v>
      </c>
      <c r="I254" s="90" t="b">
        <v>0</v>
      </c>
      <c r="J254" s="90" t="b">
        <v>0</v>
      </c>
      <c r="K254" s="90" t="b">
        <v>0</v>
      </c>
      <c r="L254" s="90" t="b">
        <v>0</v>
      </c>
    </row>
    <row r="255" spans="1:12" ht="15">
      <c r="A255" s="87" t="s">
        <v>2026</v>
      </c>
      <c r="B255" s="90" t="s">
        <v>2027</v>
      </c>
      <c r="C255" s="90">
        <v>2</v>
      </c>
      <c r="D255" s="114">
        <v>0.0013492257203121102</v>
      </c>
      <c r="E255" s="114">
        <v>3.1437952038457664</v>
      </c>
      <c r="F255" s="90" t="s">
        <v>2081</v>
      </c>
      <c r="G255" s="90" t="b">
        <v>0</v>
      </c>
      <c r="H255" s="90" t="b">
        <v>0</v>
      </c>
      <c r="I255" s="90" t="b">
        <v>0</v>
      </c>
      <c r="J255" s="90" t="b">
        <v>0</v>
      </c>
      <c r="K255" s="90" t="b">
        <v>0</v>
      </c>
      <c r="L255" s="90" t="b">
        <v>0</v>
      </c>
    </row>
    <row r="256" spans="1:12" ht="15">
      <c r="A256" s="87" t="s">
        <v>2027</v>
      </c>
      <c r="B256" s="90" t="s">
        <v>2028</v>
      </c>
      <c r="C256" s="90">
        <v>2</v>
      </c>
      <c r="D256" s="114">
        <v>0.0013492257203121102</v>
      </c>
      <c r="E256" s="114">
        <v>3.1437952038457664</v>
      </c>
      <c r="F256" s="90" t="s">
        <v>2081</v>
      </c>
      <c r="G256" s="90" t="b">
        <v>0</v>
      </c>
      <c r="H256" s="90" t="b">
        <v>0</v>
      </c>
      <c r="I256" s="90" t="b">
        <v>0</v>
      </c>
      <c r="J256" s="90" t="b">
        <v>0</v>
      </c>
      <c r="K256" s="90" t="b">
        <v>0</v>
      </c>
      <c r="L256" s="90" t="b">
        <v>0</v>
      </c>
    </row>
    <row r="257" spans="1:12" ht="15">
      <c r="A257" s="87" t="s">
        <v>2028</v>
      </c>
      <c r="B257" s="90" t="s">
        <v>2029</v>
      </c>
      <c r="C257" s="90">
        <v>2</v>
      </c>
      <c r="D257" s="114">
        <v>0.0013492257203121102</v>
      </c>
      <c r="E257" s="114">
        <v>3.1437952038457664</v>
      </c>
      <c r="F257" s="90" t="s">
        <v>2081</v>
      </c>
      <c r="G257" s="90" t="b">
        <v>0</v>
      </c>
      <c r="H257" s="90" t="b">
        <v>0</v>
      </c>
      <c r="I257" s="90" t="b">
        <v>0</v>
      </c>
      <c r="J257" s="90" t="b">
        <v>0</v>
      </c>
      <c r="K257" s="90" t="b">
        <v>0</v>
      </c>
      <c r="L257" s="90" t="b">
        <v>0</v>
      </c>
    </row>
    <row r="258" spans="1:12" ht="15">
      <c r="A258" s="87" t="s">
        <v>2029</v>
      </c>
      <c r="B258" s="90" t="s">
        <v>2030</v>
      </c>
      <c r="C258" s="90">
        <v>2</v>
      </c>
      <c r="D258" s="114">
        <v>0.0013492257203121102</v>
      </c>
      <c r="E258" s="114">
        <v>3.1437952038457664</v>
      </c>
      <c r="F258" s="90" t="s">
        <v>2081</v>
      </c>
      <c r="G258" s="90" t="b">
        <v>0</v>
      </c>
      <c r="H258" s="90" t="b">
        <v>0</v>
      </c>
      <c r="I258" s="90" t="b">
        <v>0</v>
      </c>
      <c r="J258" s="90" t="b">
        <v>0</v>
      </c>
      <c r="K258" s="90" t="b">
        <v>0</v>
      </c>
      <c r="L258" s="90" t="b">
        <v>0</v>
      </c>
    </row>
    <row r="259" spans="1:12" ht="15">
      <c r="A259" s="87" t="s">
        <v>2030</v>
      </c>
      <c r="B259" s="90" t="s">
        <v>2031</v>
      </c>
      <c r="C259" s="90">
        <v>2</v>
      </c>
      <c r="D259" s="114">
        <v>0.0013492257203121102</v>
      </c>
      <c r="E259" s="114">
        <v>3.1437952038457664</v>
      </c>
      <c r="F259" s="90" t="s">
        <v>2081</v>
      </c>
      <c r="G259" s="90" t="b">
        <v>0</v>
      </c>
      <c r="H259" s="90" t="b">
        <v>0</v>
      </c>
      <c r="I259" s="90" t="b">
        <v>0</v>
      </c>
      <c r="J259" s="90" t="b">
        <v>0</v>
      </c>
      <c r="K259" s="90" t="b">
        <v>0</v>
      </c>
      <c r="L259" s="90" t="b">
        <v>0</v>
      </c>
    </row>
    <row r="260" spans="1:12" ht="15">
      <c r="A260" s="87" t="s">
        <v>2031</v>
      </c>
      <c r="B260" s="90" t="s">
        <v>2032</v>
      </c>
      <c r="C260" s="90">
        <v>2</v>
      </c>
      <c r="D260" s="114">
        <v>0.0013492257203121102</v>
      </c>
      <c r="E260" s="114">
        <v>3.1437952038457664</v>
      </c>
      <c r="F260" s="90" t="s">
        <v>2081</v>
      </c>
      <c r="G260" s="90" t="b">
        <v>0</v>
      </c>
      <c r="H260" s="90" t="b">
        <v>0</v>
      </c>
      <c r="I260" s="90" t="b">
        <v>0</v>
      </c>
      <c r="J260" s="90" t="b">
        <v>0</v>
      </c>
      <c r="K260" s="90" t="b">
        <v>0</v>
      </c>
      <c r="L260" s="90" t="b">
        <v>0</v>
      </c>
    </row>
    <row r="261" spans="1:12" ht="15">
      <c r="A261" s="87" t="s">
        <v>2032</v>
      </c>
      <c r="B261" s="90" t="s">
        <v>2033</v>
      </c>
      <c r="C261" s="90">
        <v>2</v>
      </c>
      <c r="D261" s="114">
        <v>0.0013492257203121102</v>
      </c>
      <c r="E261" s="114">
        <v>3.1437952038457664</v>
      </c>
      <c r="F261" s="90" t="s">
        <v>2081</v>
      </c>
      <c r="G261" s="90" t="b">
        <v>0</v>
      </c>
      <c r="H261" s="90" t="b">
        <v>0</v>
      </c>
      <c r="I261" s="90" t="b">
        <v>0</v>
      </c>
      <c r="J261" s="90" t="b">
        <v>0</v>
      </c>
      <c r="K261" s="90" t="b">
        <v>0</v>
      </c>
      <c r="L261" s="90" t="b">
        <v>0</v>
      </c>
    </row>
    <row r="262" spans="1:12" ht="15">
      <c r="A262" s="87" t="s">
        <v>2033</v>
      </c>
      <c r="B262" s="90" t="s">
        <v>2034</v>
      </c>
      <c r="C262" s="90">
        <v>2</v>
      </c>
      <c r="D262" s="114">
        <v>0.0013492257203121102</v>
      </c>
      <c r="E262" s="114">
        <v>3.1437952038457664</v>
      </c>
      <c r="F262" s="90" t="s">
        <v>2081</v>
      </c>
      <c r="G262" s="90" t="b">
        <v>0</v>
      </c>
      <c r="H262" s="90" t="b">
        <v>0</v>
      </c>
      <c r="I262" s="90" t="b">
        <v>0</v>
      </c>
      <c r="J262" s="90" t="b">
        <v>0</v>
      </c>
      <c r="K262" s="90" t="b">
        <v>0</v>
      </c>
      <c r="L262" s="90" t="b">
        <v>0</v>
      </c>
    </row>
    <row r="263" spans="1:12" ht="15">
      <c r="A263" s="87" t="s">
        <v>2034</v>
      </c>
      <c r="B263" s="90" t="s">
        <v>2035</v>
      </c>
      <c r="C263" s="90">
        <v>2</v>
      </c>
      <c r="D263" s="114">
        <v>0.0013492257203121102</v>
      </c>
      <c r="E263" s="114">
        <v>3.1437952038457664</v>
      </c>
      <c r="F263" s="90" t="s">
        <v>2081</v>
      </c>
      <c r="G263" s="90" t="b">
        <v>0</v>
      </c>
      <c r="H263" s="90" t="b">
        <v>0</v>
      </c>
      <c r="I263" s="90" t="b">
        <v>0</v>
      </c>
      <c r="J263" s="90" t="b">
        <v>0</v>
      </c>
      <c r="K263" s="90" t="b">
        <v>0</v>
      </c>
      <c r="L263" s="90" t="b">
        <v>0</v>
      </c>
    </row>
    <row r="264" spans="1:12" ht="15">
      <c r="A264" s="87" t="s">
        <v>2036</v>
      </c>
      <c r="B264" s="90" t="s">
        <v>2037</v>
      </c>
      <c r="C264" s="90">
        <v>2</v>
      </c>
      <c r="D264" s="114">
        <v>0.0015503817481530599</v>
      </c>
      <c r="E264" s="114">
        <v>3.1437952038457664</v>
      </c>
      <c r="F264" s="90" t="s">
        <v>2081</v>
      </c>
      <c r="G264" s="90" t="b">
        <v>0</v>
      </c>
      <c r="H264" s="90" t="b">
        <v>0</v>
      </c>
      <c r="I264" s="90" t="b">
        <v>0</v>
      </c>
      <c r="J264" s="90" t="b">
        <v>0</v>
      </c>
      <c r="K264" s="90" t="b">
        <v>0</v>
      </c>
      <c r="L264" s="90" t="b">
        <v>0</v>
      </c>
    </row>
    <row r="265" spans="1:12" ht="15">
      <c r="A265" s="87" t="s">
        <v>2038</v>
      </c>
      <c r="B265" s="90" t="s">
        <v>1911</v>
      </c>
      <c r="C265" s="90">
        <v>2</v>
      </c>
      <c r="D265" s="114">
        <v>0.0015503817481530599</v>
      </c>
      <c r="E265" s="114">
        <v>2.9677039447900855</v>
      </c>
      <c r="F265" s="90" t="s">
        <v>2081</v>
      </c>
      <c r="G265" s="90" t="b">
        <v>0</v>
      </c>
      <c r="H265" s="90" t="b">
        <v>0</v>
      </c>
      <c r="I265" s="90" t="b">
        <v>0</v>
      </c>
      <c r="J265" s="90" t="b">
        <v>0</v>
      </c>
      <c r="K265" s="90" t="b">
        <v>0</v>
      </c>
      <c r="L265" s="90" t="b">
        <v>0</v>
      </c>
    </row>
    <row r="266" spans="1:12" ht="15">
      <c r="A266" s="87" t="s">
        <v>1505</v>
      </c>
      <c r="B266" s="90" t="s">
        <v>1495</v>
      </c>
      <c r="C266" s="90">
        <v>2</v>
      </c>
      <c r="D266" s="114">
        <v>0.0013492257203121102</v>
      </c>
      <c r="E266" s="114">
        <v>0.16424682914167144</v>
      </c>
      <c r="F266" s="90" t="s">
        <v>2081</v>
      </c>
      <c r="G266" s="90" t="b">
        <v>0</v>
      </c>
      <c r="H266" s="90" t="b">
        <v>0</v>
      </c>
      <c r="I266" s="90" t="b">
        <v>0</v>
      </c>
      <c r="J266" s="90" t="b">
        <v>0</v>
      </c>
      <c r="K266" s="90" t="b">
        <v>0</v>
      </c>
      <c r="L266" s="90" t="b">
        <v>0</v>
      </c>
    </row>
    <row r="267" spans="1:12" ht="15">
      <c r="A267" s="87" t="s">
        <v>1923</v>
      </c>
      <c r="B267" s="90" t="s">
        <v>1924</v>
      </c>
      <c r="C267" s="90">
        <v>2</v>
      </c>
      <c r="D267" s="114">
        <v>0.0013492257203121102</v>
      </c>
      <c r="E267" s="114">
        <v>2.791612685734404</v>
      </c>
      <c r="F267" s="90" t="s">
        <v>2081</v>
      </c>
      <c r="G267" s="90" t="b">
        <v>0</v>
      </c>
      <c r="H267" s="90" t="b">
        <v>0</v>
      </c>
      <c r="I267" s="90" t="b">
        <v>0</v>
      </c>
      <c r="J267" s="90" t="b">
        <v>0</v>
      </c>
      <c r="K267" s="90" t="b">
        <v>0</v>
      </c>
      <c r="L267" s="90" t="b">
        <v>0</v>
      </c>
    </row>
    <row r="268" spans="1:12" ht="15">
      <c r="A268" s="87" t="s">
        <v>2043</v>
      </c>
      <c r="B268" s="90" t="s">
        <v>1865</v>
      </c>
      <c r="C268" s="90">
        <v>2</v>
      </c>
      <c r="D268" s="114">
        <v>0.0013492257203121102</v>
      </c>
      <c r="E268" s="114">
        <v>2.9677039447900855</v>
      </c>
      <c r="F268" s="90" t="s">
        <v>2081</v>
      </c>
      <c r="G268" s="90" t="b">
        <v>0</v>
      </c>
      <c r="H268" s="90" t="b">
        <v>0</v>
      </c>
      <c r="I268" s="90" t="b">
        <v>0</v>
      </c>
      <c r="J268" s="90" t="b">
        <v>0</v>
      </c>
      <c r="K268" s="90" t="b">
        <v>0</v>
      </c>
      <c r="L268" s="90" t="b">
        <v>0</v>
      </c>
    </row>
    <row r="269" spans="1:12" ht="15">
      <c r="A269" s="87" t="s">
        <v>308</v>
      </c>
      <c r="B269" s="90" t="s">
        <v>271</v>
      </c>
      <c r="C269" s="90">
        <v>2</v>
      </c>
      <c r="D269" s="114">
        <v>0.0013492257203121102</v>
      </c>
      <c r="E269" s="114">
        <v>2.9677039447900855</v>
      </c>
      <c r="F269" s="90" t="s">
        <v>2081</v>
      </c>
      <c r="G269" s="90" t="b">
        <v>0</v>
      </c>
      <c r="H269" s="90" t="b">
        <v>0</v>
      </c>
      <c r="I269" s="90" t="b">
        <v>0</v>
      </c>
      <c r="J269" s="90" t="b">
        <v>0</v>
      </c>
      <c r="K269" s="90" t="b">
        <v>0</v>
      </c>
      <c r="L269" s="90" t="b">
        <v>0</v>
      </c>
    </row>
    <row r="270" spans="1:12" ht="15">
      <c r="A270" s="87" t="s">
        <v>271</v>
      </c>
      <c r="B270" s="90" t="s">
        <v>273</v>
      </c>
      <c r="C270" s="90">
        <v>2</v>
      </c>
      <c r="D270" s="114">
        <v>0.0013492257203121102</v>
      </c>
      <c r="E270" s="114">
        <v>2.4448251995097476</v>
      </c>
      <c r="F270" s="90" t="s">
        <v>2081</v>
      </c>
      <c r="G270" s="90" t="b">
        <v>0</v>
      </c>
      <c r="H270" s="90" t="b">
        <v>0</v>
      </c>
      <c r="I270" s="90" t="b">
        <v>0</v>
      </c>
      <c r="J270" s="90" t="b">
        <v>0</v>
      </c>
      <c r="K270" s="90" t="b">
        <v>0</v>
      </c>
      <c r="L270" s="90" t="b">
        <v>0</v>
      </c>
    </row>
    <row r="271" spans="1:12" ht="15">
      <c r="A271" s="87" t="s">
        <v>1537</v>
      </c>
      <c r="B271" s="90" t="s">
        <v>1538</v>
      </c>
      <c r="C271" s="90">
        <v>2</v>
      </c>
      <c r="D271" s="114">
        <v>0.0013492257203121102</v>
      </c>
      <c r="E271" s="114">
        <v>3.1437952038457664</v>
      </c>
      <c r="F271" s="90" t="s">
        <v>2081</v>
      </c>
      <c r="G271" s="90" t="b">
        <v>0</v>
      </c>
      <c r="H271" s="90" t="b">
        <v>0</v>
      </c>
      <c r="I271" s="90" t="b">
        <v>0</v>
      </c>
      <c r="J271" s="90" t="b">
        <v>1</v>
      </c>
      <c r="K271" s="90" t="b">
        <v>0</v>
      </c>
      <c r="L271" s="90" t="b">
        <v>0</v>
      </c>
    </row>
    <row r="272" spans="1:12" ht="15">
      <c r="A272" s="87" t="s">
        <v>1538</v>
      </c>
      <c r="B272" s="90" t="s">
        <v>1539</v>
      </c>
      <c r="C272" s="90">
        <v>2</v>
      </c>
      <c r="D272" s="114">
        <v>0.0013492257203121102</v>
      </c>
      <c r="E272" s="114">
        <v>3.1437952038457664</v>
      </c>
      <c r="F272" s="90" t="s">
        <v>2081</v>
      </c>
      <c r="G272" s="90" t="b">
        <v>1</v>
      </c>
      <c r="H272" s="90" t="b">
        <v>0</v>
      </c>
      <c r="I272" s="90" t="b">
        <v>0</v>
      </c>
      <c r="J272" s="90" t="b">
        <v>0</v>
      </c>
      <c r="K272" s="90" t="b">
        <v>0</v>
      </c>
      <c r="L272" s="90" t="b">
        <v>0</v>
      </c>
    </row>
    <row r="273" spans="1:12" ht="15">
      <c r="A273" s="87" t="s">
        <v>1539</v>
      </c>
      <c r="B273" s="90" t="s">
        <v>1540</v>
      </c>
      <c r="C273" s="90">
        <v>2</v>
      </c>
      <c r="D273" s="114">
        <v>0.0013492257203121102</v>
      </c>
      <c r="E273" s="114">
        <v>3.1437952038457664</v>
      </c>
      <c r="F273" s="90" t="s">
        <v>2081</v>
      </c>
      <c r="G273" s="90" t="b">
        <v>0</v>
      </c>
      <c r="H273" s="90" t="b">
        <v>0</v>
      </c>
      <c r="I273" s="90" t="b">
        <v>0</v>
      </c>
      <c r="J273" s="90" t="b">
        <v>0</v>
      </c>
      <c r="K273" s="90" t="b">
        <v>0</v>
      </c>
      <c r="L273" s="90" t="b">
        <v>0</v>
      </c>
    </row>
    <row r="274" spans="1:12" ht="15">
      <c r="A274" s="87" t="s">
        <v>1540</v>
      </c>
      <c r="B274" s="90" t="s">
        <v>1541</v>
      </c>
      <c r="C274" s="90">
        <v>2</v>
      </c>
      <c r="D274" s="114">
        <v>0.0013492257203121102</v>
      </c>
      <c r="E274" s="114">
        <v>3.1437952038457664</v>
      </c>
      <c r="F274" s="90" t="s">
        <v>2081</v>
      </c>
      <c r="G274" s="90" t="b">
        <v>0</v>
      </c>
      <c r="H274" s="90" t="b">
        <v>0</v>
      </c>
      <c r="I274" s="90" t="b">
        <v>0</v>
      </c>
      <c r="J274" s="90" t="b">
        <v>0</v>
      </c>
      <c r="K274" s="90" t="b">
        <v>0</v>
      </c>
      <c r="L274" s="90" t="b">
        <v>0</v>
      </c>
    </row>
    <row r="275" spans="1:12" ht="15">
      <c r="A275" s="87" t="s">
        <v>1541</v>
      </c>
      <c r="B275" s="90" t="s">
        <v>1542</v>
      </c>
      <c r="C275" s="90">
        <v>2</v>
      </c>
      <c r="D275" s="114">
        <v>0.0013492257203121102</v>
      </c>
      <c r="E275" s="114">
        <v>3.1437952038457664</v>
      </c>
      <c r="F275" s="90" t="s">
        <v>2081</v>
      </c>
      <c r="G275" s="90" t="b">
        <v>0</v>
      </c>
      <c r="H275" s="90" t="b">
        <v>0</v>
      </c>
      <c r="I275" s="90" t="b">
        <v>0</v>
      </c>
      <c r="J275" s="90" t="b">
        <v>0</v>
      </c>
      <c r="K275" s="90" t="b">
        <v>0</v>
      </c>
      <c r="L275" s="90" t="b">
        <v>0</v>
      </c>
    </row>
    <row r="276" spans="1:12" ht="15">
      <c r="A276" s="87" t="s">
        <v>1542</v>
      </c>
      <c r="B276" s="90" t="s">
        <v>1543</v>
      </c>
      <c r="C276" s="90">
        <v>2</v>
      </c>
      <c r="D276" s="114">
        <v>0.0013492257203121102</v>
      </c>
      <c r="E276" s="114">
        <v>3.1437952038457664</v>
      </c>
      <c r="F276" s="90" t="s">
        <v>2081</v>
      </c>
      <c r="G276" s="90" t="b">
        <v>0</v>
      </c>
      <c r="H276" s="90" t="b">
        <v>0</v>
      </c>
      <c r="I276" s="90" t="b">
        <v>0</v>
      </c>
      <c r="J276" s="90" t="b">
        <v>0</v>
      </c>
      <c r="K276" s="90" t="b">
        <v>1</v>
      </c>
      <c r="L276" s="90" t="b">
        <v>0</v>
      </c>
    </row>
    <row r="277" spans="1:12" ht="15">
      <c r="A277" s="87" t="s">
        <v>1543</v>
      </c>
      <c r="B277" s="90" t="s">
        <v>1544</v>
      </c>
      <c r="C277" s="90">
        <v>2</v>
      </c>
      <c r="D277" s="114">
        <v>0.0013492257203121102</v>
      </c>
      <c r="E277" s="114">
        <v>3.1437952038457664</v>
      </c>
      <c r="F277" s="90" t="s">
        <v>2081</v>
      </c>
      <c r="G277" s="90" t="b">
        <v>0</v>
      </c>
      <c r="H277" s="90" t="b">
        <v>1</v>
      </c>
      <c r="I277" s="90" t="b">
        <v>0</v>
      </c>
      <c r="J277" s="90" t="b">
        <v>0</v>
      </c>
      <c r="K277" s="90" t="b">
        <v>0</v>
      </c>
      <c r="L277" s="90" t="b">
        <v>0</v>
      </c>
    </row>
    <row r="278" spans="1:12" ht="15">
      <c r="A278" s="87" t="s">
        <v>1544</v>
      </c>
      <c r="B278" s="90" t="s">
        <v>1545</v>
      </c>
      <c r="C278" s="90">
        <v>2</v>
      </c>
      <c r="D278" s="114">
        <v>0.0013492257203121102</v>
      </c>
      <c r="E278" s="114">
        <v>3.1437952038457664</v>
      </c>
      <c r="F278" s="90" t="s">
        <v>2081</v>
      </c>
      <c r="G278" s="90" t="b">
        <v>0</v>
      </c>
      <c r="H278" s="90" t="b">
        <v>0</v>
      </c>
      <c r="I278" s="90" t="b">
        <v>0</v>
      </c>
      <c r="J278" s="90" t="b">
        <v>0</v>
      </c>
      <c r="K278" s="90" t="b">
        <v>0</v>
      </c>
      <c r="L278" s="90" t="b">
        <v>0</v>
      </c>
    </row>
    <row r="279" spans="1:12" ht="15">
      <c r="A279" s="87" t="s">
        <v>1545</v>
      </c>
      <c r="B279" s="90" t="s">
        <v>1495</v>
      </c>
      <c r="C279" s="90">
        <v>2</v>
      </c>
      <c r="D279" s="114">
        <v>0.0013492257203121102</v>
      </c>
      <c r="E279" s="114">
        <v>1.1184893385809962</v>
      </c>
      <c r="F279" s="90" t="s">
        <v>2081</v>
      </c>
      <c r="G279" s="90" t="b">
        <v>0</v>
      </c>
      <c r="H279" s="90" t="b">
        <v>0</v>
      </c>
      <c r="I279" s="90" t="b">
        <v>0</v>
      </c>
      <c r="J279" s="90" t="b">
        <v>0</v>
      </c>
      <c r="K279" s="90" t="b">
        <v>0</v>
      </c>
      <c r="L279" s="90" t="b">
        <v>0</v>
      </c>
    </row>
    <row r="280" spans="1:12" ht="15">
      <c r="A280" s="87" t="s">
        <v>1496</v>
      </c>
      <c r="B280" s="90" t="s">
        <v>1519</v>
      </c>
      <c r="C280" s="90">
        <v>2</v>
      </c>
      <c r="D280" s="114">
        <v>0.0013492257203121102</v>
      </c>
      <c r="E280" s="114">
        <v>1.1267618645469861</v>
      </c>
      <c r="F280" s="90" t="s">
        <v>2081</v>
      </c>
      <c r="G280" s="90" t="b">
        <v>0</v>
      </c>
      <c r="H280" s="90" t="b">
        <v>0</v>
      </c>
      <c r="I280" s="90" t="b">
        <v>0</v>
      </c>
      <c r="J280" s="90" t="b">
        <v>0</v>
      </c>
      <c r="K280" s="90" t="b">
        <v>0</v>
      </c>
      <c r="L280" s="90" t="b">
        <v>0</v>
      </c>
    </row>
    <row r="281" spans="1:12" ht="15">
      <c r="A281" s="87" t="s">
        <v>1519</v>
      </c>
      <c r="B281" s="90" t="s">
        <v>307</v>
      </c>
      <c r="C281" s="90">
        <v>2</v>
      </c>
      <c r="D281" s="114">
        <v>0.0013492257203121102</v>
      </c>
      <c r="E281" s="114">
        <v>2.6666739491261042</v>
      </c>
      <c r="F281" s="90" t="s">
        <v>2081</v>
      </c>
      <c r="G281" s="90" t="b">
        <v>0</v>
      </c>
      <c r="H281" s="90" t="b">
        <v>0</v>
      </c>
      <c r="I281" s="90" t="b">
        <v>0</v>
      </c>
      <c r="J281" s="90" t="b">
        <v>0</v>
      </c>
      <c r="K281" s="90" t="b">
        <v>0</v>
      </c>
      <c r="L281" s="90" t="b">
        <v>0</v>
      </c>
    </row>
    <row r="282" spans="1:12" ht="15">
      <c r="A282" s="87" t="s">
        <v>2046</v>
      </c>
      <c r="B282" s="90" t="s">
        <v>2047</v>
      </c>
      <c r="C282" s="90">
        <v>2</v>
      </c>
      <c r="D282" s="114">
        <v>0.0013492257203121102</v>
      </c>
      <c r="E282" s="114">
        <v>3.1437952038457664</v>
      </c>
      <c r="F282" s="90" t="s">
        <v>2081</v>
      </c>
      <c r="G282" s="90" t="b">
        <v>0</v>
      </c>
      <c r="H282" s="90" t="b">
        <v>0</v>
      </c>
      <c r="I282" s="90" t="b">
        <v>0</v>
      </c>
      <c r="J282" s="90" t="b">
        <v>0</v>
      </c>
      <c r="K282" s="90" t="b">
        <v>0</v>
      </c>
      <c r="L282" s="90" t="b">
        <v>0</v>
      </c>
    </row>
    <row r="283" spans="1:12" ht="15">
      <c r="A283" s="87" t="s">
        <v>2047</v>
      </c>
      <c r="B283" s="90" t="s">
        <v>2048</v>
      </c>
      <c r="C283" s="90">
        <v>2</v>
      </c>
      <c r="D283" s="114">
        <v>0.0013492257203121102</v>
      </c>
      <c r="E283" s="114">
        <v>3.1437952038457664</v>
      </c>
      <c r="F283" s="90" t="s">
        <v>2081</v>
      </c>
      <c r="G283" s="90" t="b">
        <v>0</v>
      </c>
      <c r="H283" s="90" t="b">
        <v>0</v>
      </c>
      <c r="I283" s="90" t="b">
        <v>0</v>
      </c>
      <c r="J283" s="90" t="b">
        <v>0</v>
      </c>
      <c r="K283" s="90" t="b">
        <v>0</v>
      </c>
      <c r="L283" s="90" t="b">
        <v>0</v>
      </c>
    </row>
    <row r="284" spans="1:12" ht="15">
      <c r="A284" s="87" t="s">
        <v>2048</v>
      </c>
      <c r="B284" s="90" t="s">
        <v>1496</v>
      </c>
      <c r="C284" s="90">
        <v>2</v>
      </c>
      <c r="D284" s="114">
        <v>0.0013492257203121102</v>
      </c>
      <c r="E284" s="114">
        <v>1.1063687059051428</v>
      </c>
      <c r="F284" s="90" t="s">
        <v>2081</v>
      </c>
      <c r="G284" s="90" t="b">
        <v>0</v>
      </c>
      <c r="H284" s="90" t="b">
        <v>0</v>
      </c>
      <c r="I284" s="90" t="b">
        <v>0</v>
      </c>
      <c r="J284" s="90" t="b">
        <v>0</v>
      </c>
      <c r="K284" s="90" t="b">
        <v>0</v>
      </c>
      <c r="L284" s="90" t="b">
        <v>0</v>
      </c>
    </row>
    <row r="285" spans="1:12" ht="15">
      <c r="A285" s="87" t="s">
        <v>1496</v>
      </c>
      <c r="B285" s="90" t="s">
        <v>2049</v>
      </c>
      <c r="C285" s="90">
        <v>2</v>
      </c>
      <c r="D285" s="114">
        <v>0.0013492257203121102</v>
      </c>
      <c r="E285" s="114">
        <v>1.1267618645469861</v>
      </c>
      <c r="F285" s="90" t="s">
        <v>2081</v>
      </c>
      <c r="G285" s="90" t="b">
        <v>0</v>
      </c>
      <c r="H285" s="90" t="b">
        <v>0</v>
      </c>
      <c r="I285" s="90" t="b">
        <v>0</v>
      </c>
      <c r="J285" s="90" t="b">
        <v>0</v>
      </c>
      <c r="K285" s="90" t="b">
        <v>0</v>
      </c>
      <c r="L285" s="90" t="b">
        <v>0</v>
      </c>
    </row>
    <row r="286" spans="1:12" ht="15">
      <c r="A286" s="87" t="s">
        <v>2049</v>
      </c>
      <c r="B286" s="90" t="s">
        <v>2050</v>
      </c>
      <c r="C286" s="90">
        <v>2</v>
      </c>
      <c r="D286" s="114">
        <v>0.0013492257203121102</v>
      </c>
      <c r="E286" s="114">
        <v>3.1437952038457664</v>
      </c>
      <c r="F286" s="90" t="s">
        <v>2081</v>
      </c>
      <c r="G286" s="90" t="b">
        <v>0</v>
      </c>
      <c r="H286" s="90" t="b">
        <v>0</v>
      </c>
      <c r="I286" s="90" t="b">
        <v>0</v>
      </c>
      <c r="J286" s="90" t="b">
        <v>0</v>
      </c>
      <c r="K286" s="90" t="b">
        <v>0</v>
      </c>
      <c r="L286" s="90" t="b">
        <v>0</v>
      </c>
    </row>
    <row r="287" spans="1:12" ht="15">
      <c r="A287" s="87" t="s">
        <v>2050</v>
      </c>
      <c r="B287" s="90" t="s">
        <v>2051</v>
      </c>
      <c r="C287" s="90">
        <v>2</v>
      </c>
      <c r="D287" s="114">
        <v>0.0013492257203121102</v>
      </c>
      <c r="E287" s="114">
        <v>3.1437952038457664</v>
      </c>
      <c r="F287" s="90" t="s">
        <v>2081</v>
      </c>
      <c r="G287" s="90" t="b">
        <v>0</v>
      </c>
      <c r="H287" s="90" t="b">
        <v>0</v>
      </c>
      <c r="I287" s="90" t="b">
        <v>0</v>
      </c>
      <c r="J287" s="90" t="b">
        <v>0</v>
      </c>
      <c r="K287" s="90" t="b">
        <v>0</v>
      </c>
      <c r="L287" s="90" t="b">
        <v>0</v>
      </c>
    </row>
    <row r="288" spans="1:12" ht="15">
      <c r="A288" s="87" t="s">
        <v>2051</v>
      </c>
      <c r="B288" s="90" t="s">
        <v>2052</v>
      </c>
      <c r="C288" s="90">
        <v>2</v>
      </c>
      <c r="D288" s="114">
        <v>0.0013492257203121102</v>
      </c>
      <c r="E288" s="114">
        <v>3.1437952038457664</v>
      </c>
      <c r="F288" s="90" t="s">
        <v>2081</v>
      </c>
      <c r="G288" s="90" t="b">
        <v>0</v>
      </c>
      <c r="H288" s="90" t="b">
        <v>0</v>
      </c>
      <c r="I288" s="90" t="b">
        <v>0</v>
      </c>
      <c r="J288" s="90" t="b">
        <v>0</v>
      </c>
      <c r="K288" s="90" t="b">
        <v>0</v>
      </c>
      <c r="L288" s="90" t="b">
        <v>0</v>
      </c>
    </row>
    <row r="289" spans="1:12" ht="15">
      <c r="A289" s="87" t="s">
        <v>2052</v>
      </c>
      <c r="B289" s="90" t="s">
        <v>2053</v>
      </c>
      <c r="C289" s="90">
        <v>2</v>
      </c>
      <c r="D289" s="114">
        <v>0.0013492257203121102</v>
      </c>
      <c r="E289" s="114">
        <v>3.1437952038457664</v>
      </c>
      <c r="F289" s="90" t="s">
        <v>2081</v>
      </c>
      <c r="G289" s="90" t="b">
        <v>0</v>
      </c>
      <c r="H289" s="90" t="b">
        <v>0</v>
      </c>
      <c r="I289" s="90" t="b">
        <v>0</v>
      </c>
      <c r="J289" s="90" t="b">
        <v>0</v>
      </c>
      <c r="K289" s="90" t="b">
        <v>0</v>
      </c>
      <c r="L289" s="90" t="b">
        <v>0</v>
      </c>
    </row>
    <row r="290" spans="1:12" ht="15">
      <c r="A290" s="87" t="s">
        <v>2053</v>
      </c>
      <c r="B290" s="90" t="s">
        <v>2054</v>
      </c>
      <c r="C290" s="90">
        <v>2</v>
      </c>
      <c r="D290" s="114">
        <v>0.0013492257203121102</v>
      </c>
      <c r="E290" s="114">
        <v>3.1437952038457664</v>
      </c>
      <c r="F290" s="90" t="s">
        <v>2081</v>
      </c>
      <c r="G290" s="90" t="b">
        <v>0</v>
      </c>
      <c r="H290" s="90" t="b">
        <v>0</v>
      </c>
      <c r="I290" s="90" t="b">
        <v>0</v>
      </c>
      <c r="J290" s="90" t="b">
        <v>0</v>
      </c>
      <c r="K290" s="90" t="b">
        <v>0</v>
      </c>
      <c r="L290" s="90" t="b">
        <v>0</v>
      </c>
    </row>
    <row r="291" spans="1:12" ht="15">
      <c r="A291" s="87" t="s">
        <v>2054</v>
      </c>
      <c r="B291" s="90" t="s">
        <v>2055</v>
      </c>
      <c r="C291" s="90">
        <v>2</v>
      </c>
      <c r="D291" s="114">
        <v>0.0013492257203121102</v>
      </c>
      <c r="E291" s="114">
        <v>3.1437952038457664</v>
      </c>
      <c r="F291" s="90" t="s">
        <v>2081</v>
      </c>
      <c r="G291" s="90" t="b">
        <v>0</v>
      </c>
      <c r="H291" s="90" t="b">
        <v>0</v>
      </c>
      <c r="I291" s="90" t="b">
        <v>0</v>
      </c>
      <c r="J291" s="90" t="b">
        <v>0</v>
      </c>
      <c r="K291" s="90" t="b">
        <v>0</v>
      </c>
      <c r="L291" s="90" t="b">
        <v>0</v>
      </c>
    </row>
    <row r="292" spans="1:12" ht="15">
      <c r="A292" s="87" t="s">
        <v>2055</v>
      </c>
      <c r="B292" s="90" t="s">
        <v>2056</v>
      </c>
      <c r="C292" s="90">
        <v>2</v>
      </c>
      <c r="D292" s="114">
        <v>0.0013492257203121102</v>
      </c>
      <c r="E292" s="114">
        <v>3.1437952038457664</v>
      </c>
      <c r="F292" s="90" t="s">
        <v>2081</v>
      </c>
      <c r="G292" s="90" t="b">
        <v>0</v>
      </c>
      <c r="H292" s="90" t="b">
        <v>0</v>
      </c>
      <c r="I292" s="90" t="b">
        <v>0</v>
      </c>
      <c r="J292" s="90" t="b">
        <v>0</v>
      </c>
      <c r="K292" s="90" t="b">
        <v>0</v>
      </c>
      <c r="L292" s="90" t="b">
        <v>0</v>
      </c>
    </row>
    <row r="293" spans="1:12" ht="15">
      <c r="A293" s="87" t="s">
        <v>2056</v>
      </c>
      <c r="B293" s="90" t="s">
        <v>2057</v>
      </c>
      <c r="C293" s="90">
        <v>2</v>
      </c>
      <c r="D293" s="114">
        <v>0.0013492257203121102</v>
      </c>
      <c r="E293" s="114">
        <v>3.1437952038457664</v>
      </c>
      <c r="F293" s="90" t="s">
        <v>2081</v>
      </c>
      <c r="G293" s="90" t="b">
        <v>0</v>
      </c>
      <c r="H293" s="90" t="b">
        <v>0</v>
      </c>
      <c r="I293" s="90" t="b">
        <v>0</v>
      </c>
      <c r="J293" s="90" t="b">
        <v>0</v>
      </c>
      <c r="K293" s="90" t="b">
        <v>0</v>
      </c>
      <c r="L293" s="90" t="b">
        <v>0</v>
      </c>
    </row>
    <row r="294" spans="1:12" ht="15">
      <c r="A294" s="87" t="s">
        <v>2057</v>
      </c>
      <c r="B294" s="90" t="s">
        <v>2058</v>
      </c>
      <c r="C294" s="90">
        <v>2</v>
      </c>
      <c r="D294" s="114">
        <v>0.0013492257203121102</v>
      </c>
      <c r="E294" s="114">
        <v>3.1437952038457664</v>
      </c>
      <c r="F294" s="90" t="s">
        <v>2081</v>
      </c>
      <c r="G294" s="90" t="b">
        <v>0</v>
      </c>
      <c r="H294" s="90" t="b">
        <v>0</v>
      </c>
      <c r="I294" s="90" t="b">
        <v>0</v>
      </c>
      <c r="J294" s="90" t="b">
        <v>0</v>
      </c>
      <c r="K294" s="90" t="b">
        <v>0</v>
      </c>
      <c r="L294" s="90" t="b">
        <v>0</v>
      </c>
    </row>
    <row r="295" spans="1:12" ht="15">
      <c r="A295" s="87" t="s">
        <v>2058</v>
      </c>
      <c r="B295" s="90" t="s">
        <v>2059</v>
      </c>
      <c r="C295" s="90">
        <v>2</v>
      </c>
      <c r="D295" s="114">
        <v>0.0013492257203121102</v>
      </c>
      <c r="E295" s="114">
        <v>3.1437952038457664</v>
      </c>
      <c r="F295" s="90" t="s">
        <v>2081</v>
      </c>
      <c r="G295" s="90" t="b">
        <v>0</v>
      </c>
      <c r="H295" s="90" t="b">
        <v>0</v>
      </c>
      <c r="I295" s="90" t="b">
        <v>0</v>
      </c>
      <c r="J295" s="90" t="b">
        <v>0</v>
      </c>
      <c r="K295" s="90" t="b">
        <v>0</v>
      </c>
      <c r="L295" s="90" t="b">
        <v>0</v>
      </c>
    </row>
    <row r="296" spans="1:12" ht="15">
      <c r="A296" s="87" t="s">
        <v>2059</v>
      </c>
      <c r="B296" s="90" t="s">
        <v>2060</v>
      </c>
      <c r="C296" s="90">
        <v>2</v>
      </c>
      <c r="D296" s="114">
        <v>0.0013492257203121102</v>
      </c>
      <c r="E296" s="114">
        <v>3.1437952038457664</v>
      </c>
      <c r="F296" s="90" t="s">
        <v>2081</v>
      </c>
      <c r="G296" s="90" t="b">
        <v>0</v>
      </c>
      <c r="H296" s="90" t="b">
        <v>0</v>
      </c>
      <c r="I296" s="90" t="b">
        <v>0</v>
      </c>
      <c r="J296" s="90" t="b">
        <v>0</v>
      </c>
      <c r="K296" s="90" t="b">
        <v>0</v>
      </c>
      <c r="L296" s="90" t="b">
        <v>0</v>
      </c>
    </row>
    <row r="297" spans="1:12" ht="15">
      <c r="A297" s="87" t="s">
        <v>2060</v>
      </c>
      <c r="B297" s="90" t="s">
        <v>2061</v>
      </c>
      <c r="C297" s="90">
        <v>2</v>
      </c>
      <c r="D297" s="114">
        <v>0.0013492257203121102</v>
      </c>
      <c r="E297" s="114">
        <v>3.1437952038457664</v>
      </c>
      <c r="F297" s="90" t="s">
        <v>2081</v>
      </c>
      <c r="G297" s="90" t="b">
        <v>0</v>
      </c>
      <c r="H297" s="90" t="b">
        <v>0</v>
      </c>
      <c r="I297" s="90" t="b">
        <v>0</v>
      </c>
      <c r="J297" s="90" t="b">
        <v>0</v>
      </c>
      <c r="K297" s="90" t="b">
        <v>0</v>
      </c>
      <c r="L297" s="90" t="b">
        <v>0</v>
      </c>
    </row>
    <row r="298" spans="1:12" ht="15">
      <c r="A298" s="87" t="s">
        <v>1927</v>
      </c>
      <c r="B298" s="90" t="s">
        <v>1926</v>
      </c>
      <c r="C298" s="90">
        <v>2</v>
      </c>
      <c r="D298" s="114">
        <v>0.0013492257203121102</v>
      </c>
      <c r="E298" s="114">
        <v>2.791612685734404</v>
      </c>
      <c r="F298" s="90" t="s">
        <v>2081</v>
      </c>
      <c r="G298" s="90" t="b">
        <v>0</v>
      </c>
      <c r="H298" s="90" t="b">
        <v>0</v>
      </c>
      <c r="I298" s="90" t="b">
        <v>0</v>
      </c>
      <c r="J298" s="90" t="b">
        <v>0</v>
      </c>
      <c r="K298" s="90" t="b">
        <v>0</v>
      </c>
      <c r="L298" s="90" t="b">
        <v>0</v>
      </c>
    </row>
    <row r="299" spans="1:12" ht="15">
      <c r="A299" s="87" t="s">
        <v>1926</v>
      </c>
      <c r="B299" s="90" t="s">
        <v>1919</v>
      </c>
      <c r="C299" s="90">
        <v>2</v>
      </c>
      <c r="D299" s="114">
        <v>0.0013492257203121102</v>
      </c>
      <c r="E299" s="114">
        <v>2.791612685734404</v>
      </c>
      <c r="F299" s="90" t="s">
        <v>2081</v>
      </c>
      <c r="G299" s="90" t="b">
        <v>0</v>
      </c>
      <c r="H299" s="90" t="b">
        <v>0</v>
      </c>
      <c r="I299" s="90" t="b">
        <v>0</v>
      </c>
      <c r="J299" s="90" t="b">
        <v>0</v>
      </c>
      <c r="K299" s="90" t="b">
        <v>0</v>
      </c>
      <c r="L299" s="90" t="b">
        <v>0</v>
      </c>
    </row>
    <row r="300" spans="1:12" ht="15">
      <c r="A300" s="87" t="s">
        <v>1919</v>
      </c>
      <c r="B300" s="90" t="s">
        <v>1883</v>
      </c>
      <c r="C300" s="90">
        <v>2</v>
      </c>
      <c r="D300" s="114">
        <v>0.0013492257203121102</v>
      </c>
      <c r="E300" s="114">
        <v>2.6666739491261042</v>
      </c>
      <c r="F300" s="90" t="s">
        <v>2081</v>
      </c>
      <c r="G300" s="90" t="b">
        <v>0</v>
      </c>
      <c r="H300" s="90" t="b">
        <v>0</v>
      </c>
      <c r="I300" s="90" t="b">
        <v>0</v>
      </c>
      <c r="J300" s="90" t="b">
        <v>0</v>
      </c>
      <c r="K300" s="90" t="b">
        <v>0</v>
      </c>
      <c r="L300" s="90" t="b">
        <v>0</v>
      </c>
    </row>
    <row r="301" spans="1:12" ht="15">
      <c r="A301" s="87" t="s">
        <v>1883</v>
      </c>
      <c r="B301" s="90" t="s">
        <v>1928</v>
      </c>
      <c r="C301" s="90">
        <v>2</v>
      </c>
      <c r="D301" s="114">
        <v>0.0013492257203121102</v>
      </c>
      <c r="E301" s="114">
        <v>2.6666739491261042</v>
      </c>
      <c r="F301" s="90" t="s">
        <v>2081</v>
      </c>
      <c r="G301" s="90" t="b">
        <v>0</v>
      </c>
      <c r="H301" s="90" t="b">
        <v>0</v>
      </c>
      <c r="I301" s="90" t="b">
        <v>0</v>
      </c>
      <c r="J301" s="90" t="b">
        <v>0</v>
      </c>
      <c r="K301" s="90" t="b">
        <v>0</v>
      </c>
      <c r="L301" s="90" t="b">
        <v>0</v>
      </c>
    </row>
    <row r="302" spans="1:12" ht="15">
      <c r="A302" s="87" t="s">
        <v>1928</v>
      </c>
      <c r="B302" s="90" t="s">
        <v>1912</v>
      </c>
      <c r="C302" s="90">
        <v>2</v>
      </c>
      <c r="D302" s="114">
        <v>0.0013492257203121102</v>
      </c>
      <c r="E302" s="114">
        <v>2.791612685734404</v>
      </c>
      <c r="F302" s="90" t="s">
        <v>2081</v>
      </c>
      <c r="G302" s="90" t="b">
        <v>0</v>
      </c>
      <c r="H302" s="90" t="b">
        <v>0</v>
      </c>
      <c r="I302" s="90" t="b">
        <v>0</v>
      </c>
      <c r="J302" s="90" t="b">
        <v>0</v>
      </c>
      <c r="K302" s="90" t="b">
        <v>0</v>
      </c>
      <c r="L302" s="90" t="b">
        <v>0</v>
      </c>
    </row>
    <row r="303" spans="1:12" ht="15">
      <c r="A303" s="87" t="s">
        <v>1912</v>
      </c>
      <c r="B303" s="90" t="s">
        <v>2063</v>
      </c>
      <c r="C303" s="90">
        <v>2</v>
      </c>
      <c r="D303" s="114">
        <v>0.0013492257203121102</v>
      </c>
      <c r="E303" s="114">
        <v>2.9677039447900855</v>
      </c>
      <c r="F303" s="90" t="s">
        <v>2081</v>
      </c>
      <c r="G303" s="90" t="b">
        <v>0</v>
      </c>
      <c r="H303" s="90" t="b">
        <v>0</v>
      </c>
      <c r="I303" s="90" t="b">
        <v>0</v>
      </c>
      <c r="J303" s="90" t="b">
        <v>0</v>
      </c>
      <c r="K303" s="90" t="b">
        <v>0</v>
      </c>
      <c r="L303" s="90" t="b">
        <v>0</v>
      </c>
    </row>
    <row r="304" spans="1:12" ht="15">
      <c r="A304" s="87" t="s">
        <v>2063</v>
      </c>
      <c r="B304" s="90" t="s">
        <v>2064</v>
      </c>
      <c r="C304" s="90">
        <v>2</v>
      </c>
      <c r="D304" s="114">
        <v>0.0013492257203121102</v>
      </c>
      <c r="E304" s="114">
        <v>3.1437952038457664</v>
      </c>
      <c r="F304" s="90" t="s">
        <v>2081</v>
      </c>
      <c r="G304" s="90" t="b">
        <v>0</v>
      </c>
      <c r="H304" s="90" t="b">
        <v>0</v>
      </c>
      <c r="I304" s="90" t="b">
        <v>0</v>
      </c>
      <c r="J304" s="90" t="b">
        <v>0</v>
      </c>
      <c r="K304" s="90" t="b">
        <v>0</v>
      </c>
      <c r="L304" s="90" t="b">
        <v>0</v>
      </c>
    </row>
    <row r="305" spans="1:12" ht="15">
      <c r="A305" s="87" t="s">
        <v>2064</v>
      </c>
      <c r="B305" s="90" t="s">
        <v>2065</v>
      </c>
      <c r="C305" s="90">
        <v>2</v>
      </c>
      <c r="D305" s="114">
        <v>0.0013492257203121102</v>
      </c>
      <c r="E305" s="114">
        <v>3.1437952038457664</v>
      </c>
      <c r="F305" s="90" t="s">
        <v>2081</v>
      </c>
      <c r="G305" s="90" t="b">
        <v>0</v>
      </c>
      <c r="H305" s="90" t="b">
        <v>0</v>
      </c>
      <c r="I305" s="90" t="b">
        <v>0</v>
      </c>
      <c r="J305" s="90" t="b">
        <v>0</v>
      </c>
      <c r="K305" s="90" t="b">
        <v>1</v>
      </c>
      <c r="L305" s="90" t="b">
        <v>0</v>
      </c>
    </row>
    <row r="306" spans="1:12" ht="15">
      <c r="A306" s="87" t="s">
        <v>2065</v>
      </c>
      <c r="B306" s="90" t="s">
        <v>1817</v>
      </c>
      <c r="C306" s="90">
        <v>2</v>
      </c>
      <c r="D306" s="114">
        <v>0.0013492257203121102</v>
      </c>
      <c r="E306" s="114">
        <v>2.4448251995097476</v>
      </c>
      <c r="F306" s="90" t="s">
        <v>2081</v>
      </c>
      <c r="G306" s="90" t="b">
        <v>0</v>
      </c>
      <c r="H306" s="90" t="b">
        <v>1</v>
      </c>
      <c r="I306" s="90" t="b">
        <v>0</v>
      </c>
      <c r="J306" s="90" t="b">
        <v>0</v>
      </c>
      <c r="K306" s="90" t="b">
        <v>0</v>
      </c>
      <c r="L306" s="90" t="b">
        <v>0</v>
      </c>
    </row>
    <row r="307" spans="1:12" ht="15">
      <c r="A307" s="87" t="s">
        <v>1817</v>
      </c>
      <c r="B307" s="90" t="s">
        <v>1929</v>
      </c>
      <c r="C307" s="90">
        <v>2</v>
      </c>
      <c r="D307" s="114">
        <v>0.0013492257203121102</v>
      </c>
      <c r="E307" s="114">
        <v>2.2273412552958414</v>
      </c>
      <c r="F307" s="90" t="s">
        <v>2081</v>
      </c>
      <c r="G307" s="90" t="b">
        <v>0</v>
      </c>
      <c r="H307" s="90" t="b">
        <v>0</v>
      </c>
      <c r="I307" s="90" t="b">
        <v>0</v>
      </c>
      <c r="J307" s="90" t="b">
        <v>0</v>
      </c>
      <c r="K307" s="90" t="b">
        <v>0</v>
      </c>
      <c r="L307" s="90" t="b">
        <v>0</v>
      </c>
    </row>
    <row r="308" spans="1:12" ht="15">
      <c r="A308" s="87" t="s">
        <v>1929</v>
      </c>
      <c r="B308" s="90" t="s">
        <v>2066</v>
      </c>
      <c r="C308" s="90">
        <v>2</v>
      </c>
      <c r="D308" s="114">
        <v>0.0013492257203121102</v>
      </c>
      <c r="E308" s="114">
        <v>2.9677039447900855</v>
      </c>
      <c r="F308" s="90" t="s">
        <v>2081</v>
      </c>
      <c r="G308" s="90" t="b">
        <v>0</v>
      </c>
      <c r="H308" s="90" t="b">
        <v>0</v>
      </c>
      <c r="I308" s="90" t="b">
        <v>0</v>
      </c>
      <c r="J308" s="90" t="b">
        <v>0</v>
      </c>
      <c r="K308" s="90" t="b">
        <v>0</v>
      </c>
      <c r="L308" s="90" t="b">
        <v>0</v>
      </c>
    </row>
    <row r="309" spans="1:12" ht="15">
      <c r="A309" s="87" t="s">
        <v>2066</v>
      </c>
      <c r="B309" s="90" t="s">
        <v>2067</v>
      </c>
      <c r="C309" s="90">
        <v>2</v>
      </c>
      <c r="D309" s="114">
        <v>0.0013492257203121102</v>
      </c>
      <c r="E309" s="114">
        <v>3.1437952038457664</v>
      </c>
      <c r="F309" s="90" t="s">
        <v>2081</v>
      </c>
      <c r="G309" s="90" t="b">
        <v>0</v>
      </c>
      <c r="H309" s="90" t="b">
        <v>0</v>
      </c>
      <c r="I309" s="90" t="b">
        <v>0</v>
      </c>
      <c r="J309" s="90" t="b">
        <v>0</v>
      </c>
      <c r="K309" s="90" t="b">
        <v>0</v>
      </c>
      <c r="L309" s="90" t="b">
        <v>0</v>
      </c>
    </row>
    <row r="310" spans="1:12" ht="15">
      <c r="A310" s="87" t="s">
        <v>2067</v>
      </c>
      <c r="B310" s="90" t="s">
        <v>2068</v>
      </c>
      <c r="C310" s="90">
        <v>2</v>
      </c>
      <c r="D310" s="114">
        <v>0.0013492257203121102</v>
      </c>
      <c r="E310" s="114">
        <v>3.1437952038457664</v>
      </c>
      <c r="F310" s="90" t="s">
        <v>2081</v>
      </c>
      <c r="G310" s="90" t="b">
        <v>0</v>
      </c>
      <c r="H310" s="90" t="b">
        <v>0</v>
      </c>
      <c r="I310" s="90" t="b">
        <v>0</v>
      </c>
      <c r="J310" s="90" t="b">
        <v>0</v>
      </c>
      <c r="K310" s="90" t="b">
        <v>0</v>
      </c>
      <c r="L310" s="90" t="b">
        <v>0</v>
      </c>
    </row>
    <row r="311" spans="1:12" ht="15">
      <c r="A311" s="87" t="s">
        <v>2068</v>
      </c>
      <c r="B311" s="90" t="s">
        <v>2069</v>
      </c>
      <c r="C311" s="90">
        <v>2</v>
      </c>
      <c r="D311" s="114">
        <v>0.0013492257203121102</v>
      </c>
      <c r="E311" s="114">
        <v>3.1437952038457664</v>
      </c>
      <c r="F311" s="90" t="s">
        <v>2081</v>
      </c>
      <c r="G311" s="90" t="b">
        <v>0</v>
      </c>
      <c r="H311" s="90" t="b">
        <v>0</v>
      </c>
      <c r="I311" s="90" t="b">
        <v>0</v>
      </c>
      <c r="J311" s="90" t="b">
        <v>0</v>
      </c>
      <c r="K311" s="90" t="b">
        <v>0</v>
      </c>
      <c r="L311" s="90" t="b">
        <v>0</v>
      </c>
    </row>
    <row r="312" spans="1:12" ht="15">
      <c r="A312" s="87" t="s">
        <v>2069</v>
      </c>
      <c r="B312" s="90" t="s">
        <v>2070</v>
      </c>
      <c r="C312" s="90">
        <v>2</v>
      </c>
      <c r="D312" s="114">
        <v>0.0013492257203121102</v>
      </c>
      <c r="E312" s="114">
        <v>3.1437952038457664</v>
      </c>
      <c r="F312" s="90" t="s">
        <v>2081</v>
      </c>
      <c r="G312" s="90" t="b">
        <v>0</v>
      </c>
      <c r="H312" s="90" t="b">
        <v>0</v>
      </c>
      <c r="I312" s="90" t="b">
        <v>0</v>
      </c>
      <c r="J312" s="90" t="b">
        <v>0</v>
      </c>
      <c r="K312" s="90" t="b">
        <v>0</v>
      </c>
      <c r="L312" s="90" t="b">
        <v>0</v>
      </c>
    </row>
    <row r="313" spans="1:12" ht="15">
      <c r="A313" s="87" t="s">
        <v>2070</v>
      </c>
      <c r="B313" s="90" t="s">
        <v>1884</v>
      </c>
      <c r="C313" s="90">
        <v>2</v>
      </c>
      <c r="D313" s="114">
        <v>0.0013492257203121102</v>
      </c>
      <c r="E313" s="114">
        <v>2.842765208181785</v>
      </c>
      <c r="F313" s="90" t="s">
        <v>2081</v>
      </c>
      <c r="G313" s="90" t="b">
        <v>0</v>
      </c>
      <c r="H313" s="90" t="b">
        <v>0</v>
      </c>
      <c r="I313" s="90" t="b">
        <v>0</v>
      </c>
      <c r="J313" s="90" t="b">
        <v>0</v>
      </c>
      <c r="K313" s="90" t="b">
        <v>0</v>
      </c>
      <c r="L313" s="90" t="b">
        <v>0</v>
      </c>
    </row>
    <row r="314" spans="1:12" ht="15">
      <c r="A314" s="87" t="s">
        <v>1884</v>
      </c>
      <c r="B314" s="90" t="s">
        <v>2071</v>
      </c>
      <c r="C314" s="90">
        <v>2</v>
      </c>
      <c r="D314" s="114">
        <v>0.0013492257203121102</v>
      </c>
      <c r="E314" s="114">
        <v>2.842765208181785</v>
      </c>
      <c r="F314" s="90" t="s">
        <v>2081</v>
      </c>
      <c r="G314" s="90" t="b">
        <v>0</v>
      </c>
      <c r="H314" s="90" t="b">
        <v>0</v>
      </c>
      <c r="I314" s="90" t="b">
        <v>0</v>
      </c>
      <c r="J314" s="90" t="b">
        <v>0</v>
      </c>
      <c r="K314" s="90" t="b">
        <v>0</v>
      </c>
      <c r="L314" s="90" t="b">
        <v>0</v>
      </c>
    </row>
    <row r="315" spans="1:12" ht="15">
      <c r="A315" s="87" t="s">
        <v>2071</v>
      </c>
      <c r="B315" s="90" t="s">
        <v>2072</v>
      </c>
      <c r="C315" s="90">
        <v>2</v>
      </c>
      <c r="D315" s="114">
        <v>0.0013492257203121102</v>
      </c>
      <c r="E315" s="114">
        <v>3.1437952038457664</v>
      </c>
      <c r="F315" s="90" t="s">
        <v>2081</v>
      </c>
      <c r="G315" s="90" t="b">
        <v>0</v>
      </c>
      <c r="H315" s="90" t="b">
        <v>0</v>
      </c>
      <c r="I315" s="90" t="b">
        <v>0</v>
      </c>
      <c r="J315" s="90" t="b">
        <v>0</v>
      </c>
      <c r="K315" s="90" t="b">
        <v>0</v>
      </c>
      <c r="L315" s="90" t="b">
        <v>0</v>
      </c>
    </row>
    <row r="316" spans="1:12" ht="15">
      <c r="A316" s="87" t="s">
        <v>2072</v>
      </c>
      <c r="B316" s="90" t="s">
        <v>2073</v>
      </c>
      <c r="C316" s="90">
        <v>2</v>
      </c>
      <c r="D316" s="114">
        <v>0.0013492257203121102</v>
      </c>
      <c r="E316" s="114">
        <v>3.1437952038457664</v>
      </c>
      <c r="F316" s="90" t="s">
        <v>2081</v>
      </c>
      <c r="G316" s="90" t="b">
        <v>0</v>
      </c>
      <c r="H316" s="90" t="b">
        <v>0</v>
      </c>
      <c r="I316" s="90" t="b">
        <v>0</v>
      </c>
      <c r="J316" s="90" t="b">
        <v>0</v>
      </c>
      <c r="K316" s="90" t="b">
        <v>0</v>
      </c>
      <c r="L316" s="90" t="b">
        <v>0</v>
      </c>
    </row>
    <row r="317" spans="1:12" ht="15">
      <c r="A317" s="87" t="s">
        <v>2073</v>
      </c>
      <c r="B317" s="90" t="s">
        <v>1884</v>
      </c>
      <c r="C317" s="90">
        <v>2</v>
      </c>
      <c r="D317" s="114">
        <v>0.0013492257203121102</v>
      </c>
      <c r="E317" s="114">
        <v>2.842765208181785</v>
      </c>
      <c r="F317" s="90" t="s">
        <v>2081</v>
      </c>
      <c r="G317" s="90" t="b">
        <v>0</v>
      </c>
      <c r="H317" s="90" t="b">
        <v>0</v>
      </c>
      <c r="I317" s="90" t="b">
        <v>0</v>
      </c>
      <c r="J317" s="90" t="b">
        <v>0</v>
      </c>
      <c r="K317" s="90" t="b">
        <v>0</v>
      </c>
      <c r="L317" s="90" t="b">
        <v>0</v>
      </c>
    </row>
    <row r="318" spans="1:12" ht="15">
      <c r="A318" s="87" t="s">
        <v>1884</v>
      </c>
      <c r="B318" s="90" t="s">
        <v>1925</v>
      </c>
      <c r="C318" s="90">
        <v>2</v>
      </c>
      <c r="D318" s="114">
        <v>0.0013492257203121102</v>
      </c>
      <c r="E318" s="114">
        <v>2.6666739491261042</v>
      </c>
      <c r="F318" s="90" t="s">
        <v>2081</v>
      </c>
      <c r="G318" s="90" t="b">
        <v>0</v>
      </c>
      <c r="H318" s="90" t="b">
        <v>0</v>
      </c>
      <c r="I318" s="90" t="b">
        <v>0</v>
      </c>
      <c r="J318" s="90" t="b">
        <v>0</v>
      </c>
      <c r="K318" s="90" t="b">
        <v>0</v>
      </c>
      <c r="L318" s="90" t="b">
        <v>0</v>
      </c>
    </row>
    <row r="319" spans="1:12" ht="15">
      <c r="A319" s="87" t="s">
        <v>1925</v>
      </c>
      <c r="B319" s="90" t="s">
        <v>2074</v>
      </c>
      <c r="C319" s="90">
        <v>2</v>
      </c>
      <c r="D319" s="114">
        <v>0.0013492257203121102</v>
      </c>
      <c r="E319" s="114">
        <v>2.9677039447900855</v>
      </c>
      <c r="F319" s="90" t="s">
        <v>2081</v>
      </c>
      <c r="G319" s="90" t="b">
        <v>0</v>
      </c>
      <c r="H319" s="90" t="b">
        <v>0</v>
      </c>
      <c r="I319" s="90" t="b">
        <v>0</v>
      </c>
      <c r="J319" s="90" t="b">
        <v>0</v>
      </c>
      <c r="K319" s="90" t="b">
        <v>0</v>
      </c>
      <c r="L319" s="90" t="b">
        <v>0</v>
      </c>
    </row>
    <row r="320" spans="1:12" ht="15">
      <c r="A320" s="87" t="s">
        <v>2074</v>
      </c>
      <c r="B320" s="90" t="s">
        <v>2075</v>
      </c>
      <c r="C320" s="90">
        <v>2</v>
      </c>
      <c r="D320" s="114">
        <v>0.0013492257203121102</v>
      </c>
      <c r="E320" s="114">
        <v>3.1437952038457664</v>
      </c>
      <c r="F320" s="90" t="s">
        <v>2081</v>
      </c>
      <c r="G320" s="90" t="b">
        <v>0</v>
      </c>
      <c r="H320" s="90" t="b">
        <v>0</v>
      </c>
      <c r="I320" s="90" t="b">
        <v>0</v>
      </c>
      <c r="J320" s="90" t="b">
        <v>0</v>
      </c>
      <c r="K320" s="90" t="b">
        <v>0</v>
      </c>
      <c r="L320" s="90" t="b">
        <v>0</v>
      </c>
    </row>
    <row r="321" spans="1:12" ht="15">
      <c r="A321" s="87" t="s">
        <v>1495</v>
      </c>
      <c r="B321" s="90" t="s">
        <v>1496</v>
      </c>
      <c r="C321" s="90">
        <v>18</v>
      </c>
      <c r="D321" s="114">
        <v>0.0011064390714434875</v>
      </c>
      <c r="E321" s="114">
        <v>1.2588766293721312</v>
      </c>
      <c r="F321" s="90" t="s">
        <v>1377</v>
      </c>
      <c r="G321" s="90" t="b">
        <v>0</v>
      </c>
      <c r="H321" s="90" t="b">
        <v>0</v>
      </c>
      <c r="I321" s="90" t="b">
        <v>0</v>
      </c>
      <c r="J321" s="90" t="b">
        <v>0</v>
      </c>
      <c r="K321" s="90" t="b">
        <v>0</v>
      </c>
      <c r="L321" s="90" t="b">
        <v>0</v>
      </c>
    </row>
    <row r="322" spans="1:12" ht="15">
      <c r="A322" s="87" t="s">
        <v>1509</v>
      </c>
      <c r="B322" s="90" t="s">
        <v>1510</v>
      </c>
      <c r="C322" s="90">
        <v>8</v>
      </c>
      <c r="D322" s="114">
        <v>0.007867300815934774</v>
      </c>
      <c r="E322" s="114">
        <v>1.656816638044169</v>
      </c>
      <c r="F322" s="90" t="s">
        <v>1377</v>
      </c>
      <c r="G322" s="90" t="b">
        <v>0</v>
      </c>
      <c r="H322" s="90" t="b">
        <v>0</v>
      </c>
      <c r="I322" s="90" t="b">
        <v>0</v>
      </c>
      <c r="J322" s="90" t="b">
        <v>0</v>
      </c>
      <c r="K322" s="90" t="b">
        <v>0</v>
      </c>
      <c r="L322" s="90" t="b">
        <v>0</v>
      </c>
    </row>
    <row r="323" spans="1:12" ht="15">
      <c r="A323" s="87" t="s">
        <v>1826</v>
      </c>
      <c r="B323" s="90" t="s">
        <v>1827</v>
      </c>
      <c r="C323" s="90">
        <v>8</v>
      </c>
      <c r="D323" s="114">
        <v>0.007867300815934774</v>
      </c>
      <c r="E323" s="114">
        <v>1.656816638044169</v>
      </c>
      <c r="F323" s="90" t="s">
        <v>1377</v>
      </c>
      <c r="G323" s="90" t="b">
        <v>0</v>
      </c>
      <c r="H323" s="90" t="b">
        <v>0</v>
      </c>
      <c r="I323" s="90" t="b">
        <v>0</v>
      </c>
      <c r="J323" s="90" t="b">
        <v>0</v>
      </c>
      <c r="K323" s="90" t="b">
        <v>0</v>
      </c>
      <c r="L323" s="90" t="b">
        <v>0</v>
      </c>
    </row>
    <row r="324" spans="1:12" ht="15">
      <c r="A324" s="87" t="s">
        <v>1832</v>
      </c>
      <c r="B324" s="90" t="s">
        <v>1509</v>
      </c>
      <c r="C324" s="90">
        <v>7</v>
      </c>
      <c r="D324" s="114">
        <v>0.007946567870602108</v>
      </c>
      <c r="E324" s="114">
        <v>1.656816638044169</v>
      </c>
      <c r="F324" s="90" t="s">
        <v>1377</v>
      </c>
      <c r="G324" s="90" t="b">
        <v>0</v>
      </c>
      <c r="H324" s="90" t="b">
        <v>0</v>
      </c>
      <c r="I324" s="90" t="b">
        <v>0</v>
      </c>
      <c r="J324" s="90" t="b">
        <v>0</v>
      </c>
      <c r="K324" s="90" t="b">
        <v>0</v>
      </c>
      <c r="L324" s="90" t="b">
        <v>0</v>
      </c>
    </row>
    <row r="325" spans="1:12" ht="15">
      <c r="A325" s="87" t="s">
        <v>1510</v>
      </c>
      <c r="B325" s="90" t="s">
        <v>273</v>
      </c>
      <c r="C325" s="90">
        <v>7</v>
      </c>
      <c r="D325" s="114">
        <v>0.007946567870602108</v>
      </c>
      <c r="E325" s="114">
        <v>1.5019146780584258</v>
      </c>
      <c r="F325" s="90" t="s">
        <v>1377</v>
      </c>
      <c r="G325" s="90" t="b">
        <v>0</v>
      </c>
      <c r="H325" s="90" t="b">
        <v>0</v>
      </c>
      <c r="I325" s="90" t="b">
        <v>0</v>
      </c>
      <c r="J325" s="90" t="b">
        <v>0</v>
      </c>
      <c r="K325" s="90" t="b">
        <v>0</v>
      </c>
      <c r="L325" s="90" t="b">
        <v>0</v>
      </c>
    </row>
    <row r="326" spans="1:12" ht="15">
      <c r="A326" s="87" t="s">
        <v>273</v>
      </c>
      <c r="B326" s="90" t="s">
        <v>1505</v>
      </c>
      <c r="C326" s="90">
        <v>7</v>
      </c>
      <c r="D326" s="114">
        <v>0.007946567870602108</v>
      </c>
      <c r="E326" s="114">
        <v>1.2588766293721312</v>
      </c>
      <c r="F326" s="90" t="s">
        <v>1377</v>
      </c>
      <c r="G326" s="90" t="b">
        <v>0</v>
      </c>
      <c r="H326" s="90" t="b">
        <v>0</v>
      </c>
      <c r="I326" s="90" t="b">
        <v>0</v>
      </c>
      <c r="J326" s="90" t="b">
        <v>0</v>
      </c>
      <c r="K326" s="90" t="b">
        <v>0</v>
      </c>
      <c r="L326" s="90" t="b">
        <v>0</v>
      </c>
    </row>
    <row r="327" spans="1:12" ht="15">
      <c r="A327" s="87" t="s">
        <v>1505</v>
      </c>
      <c r="B327" s="90" t="s">
        <v>1826</v>
      </c>
      <c r="C327" s="90">
        <v>7</v>
      </c>
      <c r="D327" s="114">
        <v>0.007946567870602108</v>
      </c>
      <c r="E327" s="114">
        <v>1.3557866423801876</v>
      </c>
      <c r="F327" s="90" t="s">
        <v>1377</v>
      </c>
      <c r="G327" s="90" t="b">
        <v>0</v>
      </c>
      <c r="H327" s="90" t="b">
        <v>0</v>
      </c>
      <c r="I327" s="90" t="b">
        <v>0</v>
      </c>
      <c r="J327" s="90" t="b">
        <v>0</v>
      </c>
      <c r="K327" s="90" t="b">
        <v>0</v>
      </c>
      <c r="L327" s="90" t="b">
        <v>0</v>
      </c>
    </row>
    <row r="328" spans="1:12" ht="15">
      <c r="A328" s="87" t="s">
        <v>1827</v>
      </c>
      <c r="B328" s="90" t="s">
        <v>1833</v>
      </c>
      <c r="C328" s="90">
        <v>7</v>
      </c>
      <c r="D328" s="114">
        <v>0.007946567870602108</v>
      </c>
      <c r="E328" s="114">
        <v>1.656816638044169</v>
      </c>
      <c r="F328" s="90" t="s">
        <v>1377</v>
      </c>
      <c r="G328" s="90" t="b">
        <v>0</v>
      </c>
      <c r="H328" s="90" t="b">
        <v>0</v>
      </c>
      <c r="I328" s="90" t="b">
        <v>0</v>
      </c>
      <c r="J328" s="90" t="b">
        <v>0</v>
      </c>
      <c r="K328" s="90" t="b">
        <v>0</v>
      </c>
      <c r="L328" s="90" t="b">
        <v>0</v>
      </c>
    </row>
    <row r="329" spans="1:12" ht="15">
      <c r="A329" s="87" t="s">
        <v>1833</v>
      </c>
      <c r="B329" s="90" t="s">
        <v>1507</v>
      </c>
      <c r="C329" s="90">
        <v>7</v>
      </c>
      <c r="D329" s="114">
        <v>0.007946567870602108</v>
      </c>
      <c r="E329" s="114">
        <v>1.5599066250361124</v>
      </c>
      <c r="F329" s="90" t="s">
        <v>1377</v>
      </c>
      <c r="G329" s="90" t="b">
        <v>0</v>
      </c>
      <c r="H329" s="90" t="b">
        <v>0</v>
      </c>
      <c r="I329" s="90" t="b">
        <v>0</v>
      </c>
      <c r="J329" s="90" t="b">
        <v>0</v>
      </c>
      <c r="K329" s="90" t="b">
        <v>0</v>
      </c>
      <c r="L329" s="90" t="b">
        <v>0</v>
      </c>
    </row>
    <row r="330" spans="1:12" ht="15">
      <c r="A330" s="87" t="s">
        <v>1507</v>
      </c>
      <c r="B330" s="90" t="s">
        <v>1834</v>
      </c>
      <c r="C330" s="90">
        <v>7</v>
      </c>
      <c r="D330" s="114">
        <v>0.007946567870602108</v>
      </c>
      <c r="E330" s="114">
        <v>1.5599066250361124</v>
      </c>
      <c r="F330" s="90" t="s">
        <v>1377</v>
      </c>
      <c r="G330" s="90" t="b">
        <v>0</v>
      </c>
      <c r="H330" s="90" t="b">
        <v>0</v>
      </c>
      <c r="I330" s="90" t="b">
        <v>0</v>
      </c>
      <c r="J330" s="90" t="b">
        <v>0</v>
      </c>
      <c r="K330" s="90" t="b">
        <v>0</v>
      </c>
      <c r="L330" s="90" t="b">
        <v>0</v>
      </c>
    </row>
    <row r="331" spans="1:12" ht="15">
      <c r="A331" s="87" t="s">
        <v>1834</v>
      </c>
      <c r="B331" s="90" t="s">
        <v>1828</v>
      </c>
      <c r="C331" s="90">
        <v>7</v>
      </c>
      <c r="D331" s="114">
        <v>0.007946567870602108</v>
      </c>
      <c r="E331" s="114">
        <v>1.656816638044169</v>
      </c>
      <c r="F331" s="90" t="s">
        <v>1377</v>
      </c>
      <c r="G331" s="90" t="b">
        <v>0</v>
      </c>
      <c r="H331" s="90" t="b">
        <v>0</v>
      </c>
      <c r="I331" s="90" t="b">
        <v>0</v>
      </c>
      <c r="J331" s="90" t="b">
        <v>0</v>
      </c>
      <c r="K331" s="90" t="b">
        <v>0</v>
      </c>
      <c r="L331" s="90" t="b">
        <v>0</v>
      </c>
    </row>
    <row r="332" spans="1:12" ht="15">
      <c r="A332" s="87" t="s">
        <v>1828</v>
      </c>
      <c r="B332" s="90" t="s">
        <v>1522</v>
      </c>
      <c r="C332" s="90">
        <v>7</v>
      </c>
      <c r="D332" s="114">
        <v>0.007946567870602108</v>
      </c>
      <c r="E332" s="114">
        <v>1.656816638044169</v>
      </c>
      <c r="F332" s="90" t="s">
        <v>1377</v>
      </c>
      <c r="G332" s="90" t="b">
        <v>0</v>
      </c>
      <c r="H332" s="90" t="b">
        <v>0</v>
      </c>
      <c r="I332" s="90" t="b">
        <v>0</v>
      </c>
      <c r="J332" s="90" t="b">
        <v>1</v>
      </c>
      <c r="K332" s="90" t="b">
        <v>0</v>
      </c>
      <c r="L332" s="90" t="b">
        <v>0</v>
      </c>
    </row>
    <row r="333" spans="1:12" ht="15">
      <c r="A333" s="87" t="s">
        <v>1522</v>
      </c>
      <c r="B333" s="90" t="s">
        <v>1821</v>
      </c>
      <c r="C333" s="90">
        <v>7</v>
      </c>
      <c r="D333" s="114">
        <v>0.007946567870602108</v>
      </c>
      <c r="E333" s="114">
        <v>1.7148085850218557</v>
      </c>
      <c r="F333" s="90" t="s">
        <v>1377</v>
      </c>
      <c r="G333" s="90" t="b">
        <v>1</v>
      </c>
      <c r="H333" s="90" t="b">
        <v>0</v>
      </c>
      <c r="I333" s="90" t="b">
        <v>0</v>
      </c>
      <c r="J333" s="90" t="b">
        <v>0</v>
      </c>
      <c r="K333" s="90" t="b">
        <v>0</v>
      </c>
      <c r="L333" s="90" t="b">
        <v>0</v>
      </c>
    </row>
    <row r="334" spans="1:12" ht="15">
      <c r="A334" s="87" t="s">
        <v>1821</v>
      </c>
      <c r="B334" s="90" t="s">
        <v>1505</v>
      </c>
      <c r="C334" s="90">
        <v>7</v>
      </c>
      <c r="D334" s="114">
        <v>0.007946567870602108</v>
      </c>
      <c r="E334" s="114">
        <v>1.4137785893578745</v>
      </c>
      <c r="F334" s="90" t="s">
        <v>1377</v>
      </c>
      <c r="G334" s="90" t="b">
        <v>0</v>
      </c>
      <c r="H334" s="90" t="b">
        <v>0</v>
      </c>
      <c r="I334" s="90" t="b">
        <v>0</v>
      </c>
      <c r="J334" s="90" t="b">
        <v>0</v>
      </c>
      <c r="K334" s="90" t="b">
        <v>0</v>
      </c>
      <c r="L334" s="90" t="b">
        <v>0</v>
      </c>
    </row>
    <row r="335" spans="1:12" ht="15">
      <c r="A335" s="87" t="s">
        <v>1505</v>
      </c>
      <c r="B335" s="90" t="s">
        <v>1508</v>
      </c>
      <c r="C335" s="90">
        <v>7</v>
      </c>
      <c r="D335" s="114">
        <v>0.007946567870602108</v>
      </c>
      <c r="E335" s="114">
        <v>1.3046341199328064</v>
      </c>
      <c r="F335" s="90" t="s">
        <v>1377</v>
      </c>
      <c r="G335" s="90" t="b">
        <v>0</v>
      </c>
      <c r="H335" s="90" t="b">
        <v>0</v>
      </c>
      <c r="I335" s="90" t="b">
        <v>0</v>
      </c>
      <c r="J335" s="90" t="b">
        <v>0</v>
      </c>
      <c r="K335" s="90" t="b">
        <v>0</v>
      </c>
      <c r="L335" s="90" t="b">
        <v>0</v>
      </c>
    </row>
    <row r="336" spans="1:12" ht="15">
      <c r="A336" s="87" t="s">
        <v>1508</v>
      </c>
      <c r="B336" s="90" t="s">
        <v>1835</v>
      </c>
      <c r="C336" s="90">
        <v>7</v>
      </c>
      <c r="D336" s="114">
        <v>0.007946567870602108</v>
      </c>
      <c r="E336" s="114">
        <v>1.6056641155967877</v>
      </c>
      <c r="F336" s="90" t="s">
        <v>1377</v>
      </c>
      <c r="G336" s="90" t="b">
        <v>0</v>
      </c>
      <c r="H336" s="90" t="b">
        <v>0</v>
      </c>
      <c r="I336" s="90" t="b">
        <v>0</v>
      </c>
      <c r="J336" s="90" t="b">
        <v>0</v>
      </c>
      <c r="K336" s="90" t="b">
        <v>1</v>
      </c>
      <c r="L336" s="90" t="b">
        <v>0</v>
      </c>
    </row>
    <row r="337" spans="1:12" ht="15">
      <c r="A337" s="87" t="s">
        <v>1835</v>
      </c>
      <c r="B337" s="90" t="s">
        <v>1836</v>
      </c>
      <c r="C337" s="90">
        <v>7</v>
      </c>
      <c r="D337" s="114">
        <v>0.007946567870602108</v>
      </c>
      <c r="E337" s="114">
        <v>1.7148085850218557</v>
      </c>
      <c r="F337" s="90" t="s">
        <v>1377</v>
      </c>
      <c r="G337" s="90" t="b">
        <v>0</v>
      </c>
      <c r="H337" s="90" t="b">
        <v>1</v>
      </c>
      <c r="I337" s="90" t="b">
        <v>0</v>
      </c>
      <c r="J337" s="90" t="b">
        <v>0</v>
      </c>
      <c r="K337" s="90" t="b">
        <v>0</v>
      </c>
      <c r="L337" s="90" t="b">
        <v>0</v>
      </c>
    </row>
    <row r="338" spans="1:12" ht="15">
      <c r="A338" s="87" t="s">
        <v>1836</v>
      </c>
      <c r="B338" s="90" t="s">
        <v>1837</v>
      </c>
      <c r="C338" s="90">
        <v>7</v>
      </c>
      <c r="D338" s="114">
        <v>0.007946567870602108</v>
      </c>
      <c r="E338" s="114">
        <v>1.7148085850218557</v>
      </c>
      <c r="F338" s="90" t="s">
        <v>1377</v>
      </c>
      <c r="G338" s="90" t="b">
        <v>0</v>
      </c>
      <c r="H338" s="90" t="b">
        <v>0</v>
      </c>
      <c r="I338" s="90" t="b">
        <v>0</v>
      </c>
      <c r="J338" s="90" t="b">
        <v>0</v>
      </c>
      <c r="K338" s="90" t="b">
        <v>0</v>
      </c>
      <c r="L338" s="90" t="b">
        <v>0</v>
      </c>
    </row>
    <row r="339" spans="1:12" ht="15">
      <c r="A339" s="87" t="s">
        <v>1837</v>
      </c>
      <c r="B339" s="90" t="s">
        <v>1838</v>
      </c>
      <c r="C339" s="90">
        <v>7</v>
      </c>
      <c r="D339" s="114">
        <v>0.007946567870602108</v>
      </c>
      <c r="E339" s="114">
        <v>1.7148085850218557</v>
      </c>
      <c r="F339" s="90" t="s">
        <v>1377</v>
      </c>
      <c r="G339" s="90" t="b">
        <v>0</v>
      </c>
      <c r="H339" s="90" t="b">
        <v>0</v>
      </c>
      <c r="I339" s="90" t="b">
        <v>0</v>
      </c>
      <c r="J339" s="90" t="b">
        <v>0</v>
      </c>
      <c r="K339" s="90" t="b">
        <v>0</v>
      </c>
      <c r="L339" s="90" t="b">
        <v>0</v>
      </c>
    </row>
    <row r="340" spans="1:12" ht="15">
      <c r="A340" s="87" t="s">
        <v>1838</v>
      </c>
      <c r="B340" s="90" t="s">
        <v>1839</v>
      </c>
      <c r="C340" s="90">
        <v>7</v>
      </c>
      <c r="D340" s="114">
        <v>0.007946567870602108</v>
      </c>
      <c r="E340" s="114">
        <v>1.7148085850218557</v>
      </c>
      <c r="F340" s="90" t="s">
        <v>1377</v>
      </c>
      <c r="G340" s="90" t="b">
        <v>0</v>
      </c>
      <c r="H340" s="90" t="b">
        <v>0</v>
      </c>
      <c r="I340" s="90" t="b">
        <v>0</v>
      </c>
      <c r="J340" s="90" t="b">
        <v>0</v>
      </c>
      <c r="K340" s="90" t="b">
        <v>0</v>
      </c>
      <c r="L340" s="90" t="b">
        <v>0</v>
      </c>
    </row>
    <row r="341" spans="1:12" ht="15">
      <c r="A341" s="87" t="s">
        <v>1839</v>
      </c>
      <c r="B341" s="90" t="s">
        <v>1840</v>
      </c>
      <c r="C341" s="90">
        <v>7</v>
      </c>
      <c r="D341" s="114">
        <v>0.007946567870602108</v>
      </c>
      <c r="E341" s="114">
        <v>1.7148085850218557</v>
      </c>
      <c r="F341" s="90" t="s">
        <v>1377</v>
      </c>
      <c r="G341" s="90" t="b">
        <v>0</v>
      </c>
      <c r="H341" s="90" t="b">
        <v>0</v>
      </c>
      <c r="I341" s="90" t="b">
        <v>0</v>
      </c>
      <c r="J341" s="90" t="b">
        <v>0</v>
      </c>
      <c r="K341" s="90" t="b">
        <v>0</v>
      </c>
      <c r="L341" s="90" t="b">
        <v>0</v>
      </c>
    </row>
    <row r="342" spans="1:12" ht="15">
      <c r="A342" s="87" t="s">
        <v>1840</v>
      </c>
      <c r="B342" s="90" t="s">
        <v>1841</v>
      </c>
      <c r="C342" s="90">
        <v>7</v>
      </c>
      <c r="D342" s="114">
        <v>0.007946567870602108</v>
      </c>
      <c r="E342" s="114">
        <v>1.7148085850218557</v>
      </c>
      <c r="F342" s="90" t="s">
        <v>1377</v>
      </c>
      <c r="G342" s="90" t="b">
        <v>0</v>
      </c>
      <c r="H342" s="90" t="b">
        <v>0</v>
      </c>
      <c r="I342" s="90" t="b">
        <v>0</v>
      </c>
      <c r="J342" s="90" t="b">
        <v>0</v>
      </c>
      <c r="K342" s="90" t="b">
        <v>0</v>
      </c>
      <c r="L342" s="90" t="b">
        <v>0</v>
      </c>
    </row>
    <row r="343" spans="1:12" ht="15">
      <c r="A343" s="87" t="s">
        <v>1841</v>
      </c>
      <c r="B343" s="90" t="s">
        <v>1495</v>
      </c>
      <c r="C343" s="90">
        <v>7</v>
      </c>
      <c r="D343" s="114">
        <v>0.007946567870602108</v>
      </c>
      <c r="E343" s="114">
        <v>1.2811530240832836</v>
      </c>
      <c r="F343" s="90" t="s">
        <v>1377</v>
      </c>
      <c r="G343" s="90" t="b">
        <v>0</v>
      </c>
      <c r="H343" s="90" t="b">
        <v>0</v>
      </c>
      <c r="I343" s="90" t="b">
        <v>0</v>
      </c>
      <c r="J343" s="90" t="b">
        <v>0</v>
      </c>
      <c r="K343" s="90" t="b">
        <v>0</v>
      </c>
      <c r="L343" s="90" t="b">
        <v>0</v>
      </c>
    </row>
    <row r="344" spans="1:12" ht="15">
      <c r="A344" s="87" t="s">
        <v>1496</v>
      </c>
      <c r="B344" s="90" t="s">
        <v>1842</v>
      </c>
      <c r="C344" s="90">
        <v>7</v>
      </c>
      <c r="D344" s="114">
        <v>0.007946567870602108</v>
      </c>
      <c r="E344" s="114">
        <v>1.3557866423801876</v>
      </c>
      <c r="F344" s="90" t="s">
        <v>1377</v>
      </c>
      <c r="G344" s="90" t="b">
        <v>0</v>
      </c>
      <c r="H344" s="90" t="b">
        <v>0</v>
      </c>
      <c r="I344" s="90" t="b">
        <v>0</v>
      </c>
      <c r="J344" s="90" t="b">
        <v>0</v>
      </c>
      <c r="K344" s="90" t="b">
        <v>0</v>
      </c>
      <c r="L344" s="90" t="b">
        <v>0</v>
      </c>
    </row>
    <row r="345" spans="1:12" ht="15">
      <c r="A345" s="87" t="s">
        <v>1842</v>
      </c>
      <c r="B345" s="90" t="s">
        <v>1843</v>
      </c>
      <c r="C345" s="90">
        <v>7</v>
      </c>
      <c r="D345" s="114">
        <v>0.007946567870602108</v>
      </c>
      <c r="E345" s="114">
        <v>1.7148085850218557</v>
      </c>
      <c r="F345" s="90" t="s">
        <v>1377</v>
      </c>
      <c r="G345" s="90" t="b">
        <v>0</v>
      </c>
      <c r="H345" s="90" t="b">
        <v>0</v>
      </c>
      <c r="I345" s="90" t="b">
        <v>0</v>
      </c>
      <c r="J345" s="90" t="b">
        <v>0</v>
      </c>
      <c r="K345" s="90" t="b">
        <v>0</v>
      </c>
      <c r="L345" s="90" t="b">
        <v>0</v>
      </c>
    </row>
    <row r="346" spans="1:12" ht="15">
      <c r="A346" s="87" t="s">
        <v>1843</v>
      </c>
      <c r="B346" s="90" t="s">
        <v>274</v>
      </c>
      <c r="C346" s="90">
        <v>7</v>
      </c>
      <c r="D346" s="114">
        <v>0.007946567870602108</v>
      </c>
      <c r="E346" s="114">
        <v>1.3838153659804313</v>
      </c>
      <c r="F346" s="90" t="s">
        <v>1377</v>
      </c>
      <c r="G346" s="90" t="b">
        <v>0</v>
      </c>
      <c r="H346" s="90" t="b">
        <v>0</v>
      </c>
      <c r="I346" s="90" t="b">
        <v>0</v>
      </c>
      <c r="J346" s="90" t="b">
        <v>0</v>
      </c>
      <c r="K346" s="90" t="b">
        <v>0</v>
      </c>
      <c r="L346" s="90" t="b">
        <v>0</v>
      </c>
    </row>
    <row r="347" spans="1:12" ht="15">
      <c r="A347" s="87" t="s">
        <v>274</v>
      </c>
      <c r="B347" s="90" t="s">
        <v>1844</v>
      </c>
      <c r="C347" s="90">
        <v>7</v>
      </c>
      <c r="D347" s="114">
        <v>0.007946567870602108</v>
      </c>
      <c r="E347" s="114">
        <v>1.7148085850218557</v>
      </c>
      <c r="F347" s="90" t="s">
        <v>1377</v>
      </c>
      <c r="G347" s="90" t="b">
        <v>0</v>
      </c>
      <c r="H347" s="90" t="b">
        <v>0</v>
      </c>
      <c r="I347" s="90" t="b">
        <v>0</v>
      </c>
      <c r="J347" s="90" t="b">
        <v>0</v>
      </c>
      <c r="K347" s="90" t="b">
        <v>0</v>
      </c>
      <c r="L347" s="90" t="b">
        <v>0</v>
      </c>
    </row>
    <row r="348" spans="1:12" ht="15">
      <c r="A348" s="87" t="s">
        <v>1844</v>
      </c>
      <c r="B348" s="90" t="s">
        <v>1845</v>
      </c>
      <c r="C348" s="90">
        <v>7</v>
      </c>
      <c r="D348" s="114">
        <v>0.007946567870602108</v>
      </c>
      <c r="E348" s="114">
        <v>1.7148085850218557</v>
      </c>
      <c r="F348" s="90" t="s">
        <v>1377</v>
      </c>
      <c r="G348" s="90" t="b">
        <v>0</v>
      </c>
      <c r="H348" s="90" t="b">
        <v>0</v>
      </c>
      <c r="I348" s="90" t="b">
        <v>0</v>
      </c>
      <c r="J348" s="90" t="b">
        <v>0</v>
      </c>
      <c r="K348" s="90" t="b">
        <v>0</v>
      </c>
      <c r="L348" s="90" t="b">
        <v>0</v>
      </c>
    </row>
    <row r="349" spans="1:12" ht="15">
      <c r="A349" s="87" t="s">
        <v>1845</v>
      </c>
      <c r="B349" s="90" t="s">
        <v>1825</v>
      </c>
      <c r="C349" s="90">
        <v>7</v>
      </c>
      <c r="D349" s="114">
        <v>0.007946567870602108</v>
      </c>
      <c r="E349" s="114">
        <v>1.7148085850218557</v>
      </c>
      <c r="F349" s="90" t="s">
        <v>1377</v>
      </c>
      <c r="G349" s="90" t="b">
        <v>0</v>
      </c>
      <c r="H349" s="90" t="b">
        <v>0</v>
      </c>
      <c r="I349" s="90" t="b">
        <v>0</v>
      </c>
      <c r="J349" s="90" t="b">
        <v>0</v>
      </c>
      <c r="K349" s="90" t="b">
        <v>0</v>
      </c>
      <c r="L349" s="90" t="b">
        <v>0</v>
      </c>
    </row>
    <row r="350" spans="1:12" ht="15">
      <c r="A350" s="87" t="s">
        <v>1825</v>
      </c>
      <c r="B350" s="90" t="s">
        <v>1846</v>
      </c>
      <c r="C350" s="90">
        <v>7</v>
      </c>
      <c r="D350" s="114">
        <v>0.007946567870602108</v>
      </c>
      <c r="E350" s="114">
        <v>1.7148085850218557</v>
      </c>
      <c r="F350" s="90" t="s">
        <v>1377</v>
      </c>
      <c r="G350" s="90" t="b">
        <v>0</v>
      </c>
      <c r="H350" s="90" t="b">
        <v>0</v>
      </c>
      <c r="I350" s="90" t="b">
        <v>0</v>
      </c>
      <c r="J350" s="90" t="b">
        <v>0</v>
      </c>
      <c r="K350" s="90" t="b">
        <v>0</v>
      </c>
      <c r="L350" s="90" t="b">
        <v>0</v>
      </c>
    </row>
    <row r="351" spans="1:12" ht="15">
      <c r="A351" s="87" t="s">
        <v>1847</v>
      </c>
      <c r="B351" s="90" t="s">
        <v>1848</v>
      </c>
      <c r="C351" s="90">
        <v>7</v>
      </c>
      <c r="D351" s="114">
        <v>0.007946567870602108</v>
      </c>
      <c r="E351" s="114">
        <v>1.7148085850218557</v>
      </c>
      <c r="F351" s="90" t="s">
        <v>1377</v>
      </c>
      <c r="G351" s="90" t="b">
        <v>1</v>
      </c>
      <c r="H351" s="90" t="b">
        <v>0</v>
      </c>
      <c r="I351" s="90" t="b">
        <v>0</v>
      </c>
      <c r="J351" s="90" t="b">
        <v>0</v>
      </c>
      <c r="K351" s="90" t="b">
        <v>0</v>
      </c>
      <c r="L351" s="90" t="b">
        <v>0</v>
      </c>
    </row>
    <row r="352" spans="1:12" ht="15">
      <c r="A352" s="87" t="s">
        <v>1848</v>
      </c>
      <c r="B352" s="90" t="s">
        <v>275</v>
      </c>
      <c r="C352" s="90">
        <v>7</v>
      </c>
      <c r="D352" s="114">
        <v>0.007946567870602108</v>
      </c>
      <c r="E352" s="114">
        <v>1.7148085850218557</v>
      </c>
      <c r="F352" s="90" t="s">
        <v>1377</v>
      </c>
      <c r="G352" s="90" t="b">
        <v>0</v>
      </c>
      <c r="H352" s="90" t="b">
        <v>0</v>
      </c>
      <c r="I352" s="90" t="b">
        <v>0</v>
      </c>
      <c r="J352" s="90" t="b">
        <v>0</v>
      </c>
      <c r="K352" s="90" t="b">
        <v>0</v>
      </c>
      <c r="L352" s="90" t="b">
        <v>0</v>
      </c>
    </row>
    <row r="353" spans="1:12" ht="15">
      <c r="A353" s="87" t="s">
        <v>275</v>
      </c>
      <c r="B353" s="90" t="s">
        <v>1506</v>
      </c>
      <c r="C353" s="90">
        <v>7</v>
      </c>
      <c r="D353" s="114">
        <v>0.007946567870602108</v>
      </c>
      <c r="E353" s="114">
        <v>1.4137785893578745</v>
      </c>
      <c r="F353" s="90" t="s">
        <v>1377</v>
      </c>
      <c r="G353" s="90" t="b">
        <v>0</v>
      </c>
      <c r="H353" s="90" t="b">
        <v>0</v>
      </c>
      <c r="I353" s="90" t="b">
        <v>0</v>
      </c>
      <c r="J353" s="90" t="b">
        <v>1</v>
      </c>
      <c r="K353" s="90" t="b">
        <v>0</v>
      </c>
      <c r="L353" s="90" t="b">
        <v>0</v>
      </c>
    </row>
    <row r="354" spans="1:12" ht="15">
      <c r="A354" s="87" t="s">
        <v>1506</v>
      </c>
      <c r="B354" s="90" t="s">
        <v>1495</v>
      </c>
      <c r="C354" s="90">
        <v>7</v>
      </c>
      <c r="D354" s="114">
        <v>0.007946567870602108</v>
      </c>
      <c r="E354" s="114">
        <v>0.9801230284193023</v>
      </c>
      <c r="F354" s="90" t="s">
        <v>1377</v>
      </c>
      <c r="G354" s="90" t="b">
        <v>1</v>
      </c>
      <c r="H354" s="90" t="b">
        <v>0</v>
      </c>
      <c r="I354" s="90" t="b">
        <v>0</v>
      </c>
      <c r="J354" s="90" t="b">
        <v>0</v>
      </c>
      <c r="K354" s="90" t="b">
        <v>0</v>
      </c>
      <c r="L354" s="90" t="b">
        <v>0</v>
      </c>
    </row>
    <row r="355" spans="1:12" ht="15">
      <c r="A355" s="87" t="s">
        <v>1496</v>
      </c>
      <c r="B355" s="90" t="s">
        <v>1849</v>
      </c>
      <c r="C355" s="90">
        <v>7</v>
      </c>
      <c r="D355" s="114">
        <v>0.007946567870602108</v>
      </c>
      <c r="E355" s="114">
        <v>1.3557866423801876</v>
      </c>
      <c r="F355" s="90" t="s">
        <v>1377</v>
      </c>
      <c r="G355" s="90" t="b">
        <v>0</v>
      </c>
      <c r="H355" s="90" t="b">
        <v>0</v>
      </c>
      <c r="I355" s="90" t="b">
        <v>0</v>
      </c>
      <c r="J355" s="90" t="b">
        <v>0</v>
      </c>
      <c r="K355" s="90" t="b">
        <v>0</v>
      </c>
      <c r="L355" s="90" t="b">
        <v>0</v>
      </c>
    </row>
    <row r="356" spans="1:12" ht="15">
      <c r="A356" s="87" t="s">
        <v>1849</v>
      </c>
      <c r="B356" s="90" t="s">
        <v>1506</v>
      </c>
      <c r="C356" s="90">
        <v>7</v>
      </c>
      <c r="D356" s="114">
        <v>0.007946567870602108</v>
      </c>
      <c r="E356" s="114">
        <v>1.4137785893578745</v>
      </c>
      <c r="F356" s="90" t="s">
        <v>1377</v>
      </c>
      <c r="G356" s="90" t="b">
        <v>0</v>
      </c>
      <c r="H356" s="90" t="b">
        <v>0</v>
      </c>
      <c r="I356" s="90" t="b">
        <v>0</v>
      </c>
      <c r="J356" s="90" t="b">
        <v>1</v>
      </c>
      <c r="K356" s="90" t="b">
        <v>0</v>
      </c>
      <c r="L356" s="90" t="b">
        <v>0</v>
      </c>
    </row>
    <row r="357" spans="1:12" ht="15">
      <c r="A357" s="87" t="s">
        <v>1506</v>
      </c>
      <c r="B357" s="90" t="s">
        <v>274</v>
      </c>
      <c r="C357" s="90">
        <v>7</v>
      </c>
      <c r="D357" s="114">
        <v>0.007946567870602108</v>
      </c>
      <c r="E357" s="114">
        <v>1.08278537031645</v>
      </c>
      <c r="F357" s="90" t="s">
        <v>1377</v>
      </c>
      <c r="G357" s="90" t="b">
        <v>1</v>
      </c>
      <c r="H357" s="90" t="b">
        <v>0</v>
      </c>
      <c r="I357" s="90" t="b">
        <v>0</v>
      </c>
      <c r="J357" s="90" t="b">
        <v>0</v>
      </c>
      <c r="K357" s="90" t="b">
        <v>0</v>
      </c>
      <c r="L357" s="90" t="b">
        <v>0</v>
      </c>
    </row>
    <row r="358" spans="1:12" ht="15">
      <c r="A358" s="87" t="s">
        <v>308</v>
      </c>
      <c r="B358" s="90" t="s">
        <v>271</v>
      </c>
      <c r="C358" s="90">
        <v>2</v>
      </c>
      <c r="D358" s="114">
        <v>0.005118971755438993</v>
      </c>
      <c r="E358" s="114">
        <v>2.0827853703164503</v>
      </c>
      <c r="F358" s="90" t="s">
        <v>1377</v>
      </c>
      <c r="G358" s="90" t="b">
        <v>0</v>
      </c>
      <c r="H358" s="90" t="b">
        <v>0</v>
      </c>
      <c r="I358" s="90" t="b">
        <v>0</v>
      </c>
      <c r="J358" s="90" t="b">
        <v>0</v>
      </c>
      <c r="K358" s="90" t="b">
        <v>0</v>
      </c>
      <c r="L358" s="90" t="b">
        <v>0</v>
      </c>
    </row>
    <row r="359" spans="1:12" ht="15">
      <c r="A359" s="87" t="s">
        <v>271</v>
      </c>
      <c r="B359" s="90" t="s">
        <v>273</v>
      </c>
      <c r="C359" s="90">
        <v>2</v>
      </c>
      <c r="D359" s="114">
        <v>0.005118971755438993</v>
      </c>
      <c r="E359" s="114">
        <v>1.5599066250361127</v>
      </c>
      <c r="F359" s="90" t="s">
        <v>1377</v>
      </c>
      <c r="G359" s="90" t="b">
        <v>0</v>
      </c>
      <c r="H359" s="90" t="b">
        <v>0</v>
      </c>
      <c r="I359" s="90" t="b">
        <v>0</v>
      </c>
      <c r="J359" s="90" t="b">
        <v>0</v>
      </c>
      <c r="K359" s="90" t="b">
        <v>0</v>
      </c>
      <c r="L359" s="90" t="b">
        <v>0</v>
      </c>
    </row>
    <row r="360" spans="1:12" ht="15">
      <c r="A360" s="87" t="s">
        <v>1495</v>
      </c>
      <c r="B360" s="90" t="s">
        <v>1496</v>
      </c>
      <c r="C360" s="90">
        <v>163</v>
      </c>
      <c r="D360" s="114">
        <v>0</v>
      </c>
      <c r="E360" s="114">
        <v>1.06081366765978</v>
      </c>
      <c r="F360" s="90" t="s">
        <v>1378</v>
      </c>
      <c r="G360" s="90" t="b">
        <v>0</v>
      </c>
      <c r="H360" s="90" t="b">
        <v>0</v>
      </c>
      <c r="I360" s="90" t="b">
        <v>0</v>
      </c>
      <c r="J360" s="90" t="b">
        <v>0</v>
      </c>
      <c r="K360" s="90" t="b">
        <v>0</v>
      </c>
      <c r="L360" s="90" t="b">
        <v>0</v>
      </c>
    </row>
    <row r="361" spans="1:12" ht="15">
      <c r="A361" s="87" t="s">
        <v>1501</v>
      </c>
      <c r="B361" s="90" t="s">
        <v>1502</v>
      </c>
      <c r="C361" s="90">
        <v>37</v>
      </c>
      <c r="D361" s="114">
        <v>0.01221212585643163</v>
      </c>
      <c r="E361" s="114">
        <v>1.7047995479967426</v>
      </c>
      <c r="F361" s="90" t="s">
        <v>1378</v>
      </c>
      <c r="G361" s="90" t="b">
        <v>0</v>
      </c>
      <c r="H361" s="90" t="b">
        <v>0</v>
      </c>
      <c r="I361" s="90" t="b">
        <v>0</v>
      </c>
      <c r="J361" s="90" t="b">
        <v>0</v>
      </c>
      <c r="K361" s="90" t="b">
        <v>0</v>
      </c>
      <c r="L361" s="90" t="b">
        <v>0</v>
      </c>
    </row>
    <row r="362" spans="1:12" ht="15">
      <c r="A362" s="87" t="s">
        <v>1502</v>
      </c>
      <c r="B362" s="90" t="s">
        <v>1503</v>
      </c>
      <c r="C362" s="90">
        <v>37</v>
      </c>
      <c r="D362" s="114">
        <v>0.01221212585643163</v>
      </c>
      <c r="E362" s="114">
        <v>1.7047995479967426</v>
      </c>
      <c r="F362" s="90" t="s">
        <v>1378</v>
      </c>
      <c r="G362" s="90" t="b">
        <v>0</v>
      </c>
      <c r="H362" s="90" t="b">
        <v>0</v>
      </c>
      <c r="I362" s="90" t="b">
        <v>0</v>
      </c>
      <c r="J362" s="90" t="b">
        <v>0</v>
      </c>
      <c r="K362" s="90" t="b">
        <v>0</v>
      </c>
      <c r="L362" s="90" t="b">
        <v>0</v>
      </c>
    </row>
    <row r="363" spans="1:12" ht="15">
      <c r="A363" s="87" t="s">
        <v>1797</v>
      </c>
      <c r="B363" s="90" t="s">
        <v>1497</v>
      </c>
      <c r="C363" s="90">
        <v>29</v>
      </c>
      <c r="D363" s="114">
        <v>0.010402578495568967</v>
      </c>
      <c r="E363" s="114">
        <v>1.5248132450575371</v>
      </c>
      <c r="F363" s="90" t="s">
        <v>1378</v>
      </c>
      <c r="G363" s="90" t="b">
        <v>0</v>
      </c>
      <c r="H363" s="90" t="b">
        <v>0</v>
      </c>
      <c r="I363" s="90" t="b">
        <v>0</v>
      </c>
      <c r="J363" s="90" t="b">
        <v>0</v>
      </c>
      <c r="K363" s="90" t="b">
        <v>0</v>
      </c>
      <c r="L363" s="90" t="b">
        <v>0</v>
      </c>
    </row>
    <row r="364" spans="1:12" ht="15">
      <c r="A364" s="87" t="s">
        <v>1798</v>
      </c>
      <c r="B364" s="90" t="s">
        <v>1497</v>
      </c>
      <c r="C364" s="90">
        <v>27</v>
      </c>
      <c r="D364" s="114">
        <v>0.010578224170414048</v>
      </c>
      <c r="E364" s="114">
        <v>1.5248132450575371</v>
      </c>
      <c r="F364" s="90" t="s">
        <v>1378</v>
      </c>
      <c r="G364" s="90" t="b">
        <v>0</v>
      </c>
      <c r="H364" s="90" t="b">
        <v>0</v>
      </c>
      <c r="I364" s="90" t="b">
        <v>0</v>
      </c>
      <c r="J364" s="90" t="b">
        <v>0</v>
      </c>
      <c r="K364" s="90" t="b">
        <v>0</v>
      </c>
      <c r="L364" s="90" t="b">
        <v>0</v>
      </c>
    </row>
    <row r="365" spans="1:12" ht="15">
      <c r="A365" s="87" t="s">
        <v>1801</v>
      </c>
      <c r="B365" s="90" t="s">
        <v>1803</v>
      </c>
      <c r="C365" s="90">
        <v>23</v>
      </c>
      <c r="D365" s="114">
        <v>0.009440495313523497</v>
      </c>
      <c r="E365" s="114">
        <v>1.9112734360461447</v>
      </c>
      <c r="F365" s="90" t="s">
        <v>1378</v>
      </c>
      <c r="G365" s="90" t="b">
        <v>0</v>
      </c>
      <c r="H365" s="90" t="b">
        <v>0</v>
      </c>
      <c r="I365" s="90" t="b">
        <v>0</v>
      </c>
      <c r="J365" s="90" t="b">
        <v>0</v>
      </c>
      <c r="K365" s="90" t="b">
        <v>0</v>
      </c>
      <c r="L365" s="90" t="b">
        <v>0</v>
      </c>
    </row>
    <row r="366" spans="1:12" ht="15">
      <c r="A366" s="87" t="s">
        <v>1804</v>
      </c>
      <c r="B366" s="90" t="s">
        <v>1805</v>
      </c>
      <c r="C366" s="90">
        <v>18</v>
      </c>
      <c r="D366" s="114">
        <v>0.008163264693459203</v>
      </c>
      <c r="E366" s="114">
        <v>2.0177287669604316</v>
      </c>
      <c r="F366" s="90" t="s">
        <v>1378</v>
      </c>
      <c r="G366" s="90" t="b">
        <v>0</v>
      </c>
      <c r="H366" s="90" t="b">
        <v>0</v>
      </c>
      <c r="I366" s="90" t="b">
        <v>0</v>
      </c>
      <c r="J366" s="90" t="b">
        <v>0</v>
      </c>
      <c r="K366" s="90" t="b">
        <v>0</v>
      </c>
      <c r="L366" s="90" t="b">
        <v>0</v>
      </c>
    </row>
    <row r="367" spans="1:12" ht="15">
      <c r="A367" s="87" t="s">
        <v>1496</v>
      </c>
      <c r="B367" s="90" t="s">
        <v>1797</v>
      </c>
      <c r="C367" s="90">
        <v>16</v>
      </c>
      <c r="D367" s="114">
        <v>0.007660603049457306</v>
      </c>
      <c r="E367" s="114">
        <v>0.8013429130455774</v>
      </c>
      <c r="F367" s="90" t="s">
        <v>1378</v>
      </c>
      <c r="G367" s="90" t="b">
        <v>0</v>
      </c>
      <c r="H367" s="90" t="b">
        <v>0</v>
      </c>
      <c r="I367" s="90" t="b">
        <v>0</v>
      </c>
      <c r="J367" s="90" t="b">
        <v>0</v>
      </c>
      <c r="K367" s="90" t="b">
        <v>0</v>
      </c>
      <c r="L367" s="90" t="b">
        <v>0</v>
      </c>
    </row>
    <row r="368" spans="1:12" ht="15">
      <c r="A368" s="87" t="s">
        <v>1496</v>
      </c>
      <c r="B368" s="90" t="s">
        <v>1500</v>
      </c>
      <c r="C368" s="90">
        <v>15</v>
      </c>
      <c r="D368" s="114">
        <v>0.0073895381128205985</v>
      </c>
      <c r="E368" s="114">
        <v>0.6169669885854098</v>
      </c>
      <c r="F368" s="90" t="s">
        <v>1378</v>
      </c>
      <c r="G368" s="90" t="b">
        <v>0</v>
      </c>
      <c r="H368" s="90" t="b">
        <v>0</v>
      </c>
      <c r="I368" s="90" t="b">
        <v>0</v>
      </c>
      <c r="J368" s="90" t="b">
        <v>0</v>
      </c>
      <c r="K368" s="90" t="b">
        <v>0</v>
      </c>
      <c r="L368" s="90" t="b">
        <v>0</v>
      </c>
    </row>
    <row r="369" spans="1:12" ht="15">
      <c r="A369" s="87" t="s">
        <v>1498</v>
      </c>
      <c r="B369" s="90" t="s">
        <v>1495</v>
      </c>
      <c r="C369" s="90">
        <v>14</v>
      </c>
      <c r="D369" s="114">
        <v>0.007104157736302621</v>
      </c>
      <c r="E369" s="114">
        <v>0.5275361033930105</v>
      </c>
      <c r="F369" s="90" t="s">
        <v>1378</v>
      </c>
      <c r="G369" s="90" t="b">
        <v>0</v>
      </c>
      <c r="H369" s="90" t="b">
        <v>1</v>
      </c>
      <c r="I369" s="90" t="b">
        <v>0</v>
      </c>
      <c r="J369" s="90" t="b">
        <v>0</v>
      </c>
      <c r="K369" s="90" t="b">
        <v>0</v>
      </c>
      <c r="L369" s="90" t="b">
        <v>0</v>
      </c>
    </row>
    <row r="370" spans="1:12" ht="15">
      <c r="A370" s="87" t="s">
        <v>1496</v>
      </c>
      <c r="B370" s="90" t="s">
        <v>1499</v>
      </c>
      <c r="C370" s="90">
        <v>14</v>
      </c>
      <c r="D370" s="114">
        <v>0.007104157736302621</v>
      </c>
      <c r="E370" s="114">
        <v>0.5483743628518356</v>
      </c>
      <c r="F370" s="90" t="s">
        <v>1378</v>
      </c>
      <c r="G370" s="90" t="b">
        <v>0</v>
      </c>
      <c r="H370" s="90" t="b">
        <v>0</v>
      </c>
      <c r="I370" s="90" t="b">
        <v>0</v>
      </c>
      <c r="J370" s="90" t="b">
        <v>0</v>
      </c>
      <c r="K370" s="90" t="b">
        <v>0</v>
      </c>
      <c r="L370" s="90" t="b">
        <v>0</v>
      </c>
    </row>
    <row r="371" spans="1:12" ht="15">
      <c r="A371" s="87" t="s">
        <v>1807</v>
      </c>
      <c r="B371" s="90" t="s">
        <v>1495</v>
      </c>
      <c r="C371" s="90">
        <v>12</v>
      </c>
      <c r="D371" s="114">
        <v>0.006486195784770646</v>
      </c>
      <c r="E371" s="114">
        <v>0.9466654111349863</v>
      </c>
      <c r="F371" s="90" t="s">
        <v>1378</v>
      </c>
      <c r="G371" s="90" t="b">
        <v>0</v>
      </c>
      <c r="H371" s="90" t="b">
        <v>0</v>
      </c>
      <c r="I371" s="90" t="b">
        <v>0</v>
      </c>
      <c r="J371" s="90" t="b">
        <v>0</v>
      </c>
      <c r="K371" s="90" t="b">
        <v>0</v>
      </c>
      <c r="L371" s="90" t="b">
        <v>0</v>
      </c>
    </row>
    <row r="372" spans="1:12" ht="15">
      <c r="A372" s="87" t="s">
        <v>1496</v>
      </c>
      <c r="B372" s="90" t="s">
        <v>539</v>
      </c>
      <c r="C372" s="90">
        <v>12</v>
      </c>
      <c r="D372" s="114">
        <v>0.006486195784770646</v>
      </c>
      <c r="E372" s="114">
        <v>0.5514654398289776</v>
      </c>
      <c r="F372" s="90" t="s">
        <v>1378</v>
      </c>
      <c r="G372" s="90" t="b">
        <v>0</v>
      </c>
      <c r="H372" s="90" t="b">
        <v>0</v>
      </c>
      <c r="I372" s="90" t="b">
        <v>0</v>
      </c>
      <c r="J372" s="90" t="b">
        <v>0</v>
      </c>
      <c r="K372" s="90" t="b">
        <v>0</v>
      </c>
      <c r="L372" s="90" t="b">
        <v>0</v>
      </c>
    </row>
    <row r="373" spans="1:12" ht="15">
      <c r="A373" s="87" t="s">
        <v>1796</v>
      </c>
      <c r="B373" s="90" t="s">
        <v>1495</v>
      </c>
      <c r="C373" s="90">
        <v>11</v>
      </c>
      <c r="D373" s="114">
        <v>0.006151052082902439</v>
      </c>
      <c r="E373" s="114">
        <v>0.6216351390672384</v>
      </c>
      <c r="F373" s="90" t="s">
        <v>1378</v>
      </c>
      <c r="G373" s="90" t="b">
        <v>0</v>
      </c>
      <c r="H373" s="90" t="b">
        <v>0</v>
      </c>
      <c r="I373" s="90" t="b">
        <v>0</v>
      </c>
      <c r="J373" s="90" t="b">
        <v>0</v>
      </c>
      <c r="K373" s="90" t="b">
        <v>0</v>
      </c>
      <c r="L373" s="90" t="b">
        <v>0</v>
      </c>
    </row>
    <row r="374" spans="1:12" ht="15">
      <c r="A374" s="87" t="s">
        <v>1795</v>
      </c>
      <c r="B374" s="90" t="s">
        <v>1495</v>
      </c>
      <c r="C374" s="90">
        <v>10</v>
      </c>
      <c r="D374" s="114">
        <v>0.00579637484393416</v>
      </c>
      <c r="E374" s="114">
        <v>0.5664541694233801</v>
      </c>
      <c r="F374" s="90" t="s">
        <v>1378</v>
      </c>
      <c r="G374" s="90" t="b">
        <v>0</v>
      </c>
      <c r="H374" s="90" t="b">
        <v>0</v>
      </c>
      <c r="I374" s="90" t="b">
        <v>0</v>
      </c>
      <c r="J374" s="90" t="b">
        <v>0</v>
      </c>
      <c r="K374" s="90" t="b">
        <v>0</v>
      </c>
      <c r="L374" s="90" t="b">
        <v>0</v>
      </c>
    </row>
    <row r="375" spans="1:12" ht="15">
      <c r="A375" s="87" t="s">
        <v>1793</v>
      </c>
      <c r="B375" s="90" t="s">
        <v>1495</v>
      </c>
      <c r="C375" s="90">
        <v>10</v>
      </c>
      <c r="D375" s="114">
        <v>0.00579637484393416</v>
      </c>
      <c r="E375" s="114">
        <v>0.540125230701031</v>
      </c>
      <c r="F375" s="90" t="s">
        <v>1378</v>
      </c>
      <c r="G375" s="90" t="b">
        <v>0</v>
      </c>
      <c r="H375" s="90" t="b">
        <v>0</v>
      </c>
      <c r="I375" s="90" t="b">
        <v>0</v>
      </c>
      <c r="J375" s="90" t="b">
        <v>0</v>
      </c>
      <c r="K375" s="90" t="b">
        <v>0</v>
      </c>
      <c r="L375" s="90" t="b">
        <v>0</v>
      </c>
    </row>
    <row r="376" spans="1:12" ht="15">
      <c r="A376" s="87" t="s">
        <v>1497</v>
      </c>
      <c r="B376" s="90" t="s">
        <v>1495</v>
      </c>
      <c r="C376" s="90">
        <v>9</v>
      </c>
      <c r="D376" s="114">
        <v>0.005420204461836237</v>
      </c>
      <c r="E376" s="114">
        <v>0.2854839676883672</v>
      </c>
      <c r="F376" s="90" t="s">
        <v>1378</v>
      </c>
      <c r="G376" s="90" t="b">
        <v>0</v>
      </c>
      <c r="H376" s="90" t="b">
        <v>0</v>
      </c>
      <c r="I376" s="90" t="b">
        <v>0</v>
      </c>
      <c r="J376" s="90" t="b">
        <v>0</v>
      </c>
      <c r="K376" s="90" t="b">
        <v>0</v>
      </c>
      <c r="L376" s="90" t="b">
        <v>0</v>
      </c>
    </row>
    <row r="377" spans="1:12" ht="15">
      <c r="A377" s="87" t="s">
        <v>1799</v>
      </c>
      <c r="B377" s="90" t="s">
        <v>1495</v>
      </c>
      <c r="C377" s="90">
        <v>9</v>
      </c>
      <c r="D377" s="114">
        <v>0.005420204461836237</v>
      </c>
      <c r="E377" s="114">
        <v>0.6279066485105733</v>
      </c>
      <c r="F377" s="90" t="s">
        <v>1378</v>
      </c>
      <c r="G377" s="90" t="b">
        <v>0</v>
      </c>
      <c r="H377" s="90" t="b">
        <v>0</v>
      </c>
      <c r="I377" s="90" t="b">
        <v>0</v>
      </c>
      <c r="J377" s="90" t="b">
        <v>0</v>
      </c>
      <c r="K377" s="90" t="b">
        <v>0</v>
      </c>
      <c r="L377" s="90" t="b">
        <v>0</v>
      </c>
    </row>
    <row r="378" spans="1:12" ht="15">
      <c r="A378" s="87" t="s">
        <v>1496</v>
      </c>
      <c r="B378" s="90" t="s">
        <v>1798</v>
      </c>
      <c r="C378" s="90">
        <v>8</v>
      </c>
      <c r="D378" s="114">
        <v>0.005020143404823441</v>
      </c>
      <c r="E378" s="114">
        <v>0.5302761407590394</v>
      </c>
      <c r="F378" s="90" t="s">
        <v>1378</v>
      </c>
      <c r="G378" s="90" t="b">
        <v>0</v>
      </c>
      <c r="H378" s="90" t="b">
        <v>0</v>
      </c>
      <c r="I378" s="90" t="b">
        <v>0</v>
      </c>
      <c r="J378" s="90" t="b">
        <v>0</v>
      </c>
      <c r="K378" s="90" t="b">
        <v>0</v>
      </c>
      <c r="L378" s="90" t="b">
        <v>0</v>
      </c>
    </row>
    <row r="379" spans="1:12" ht="15">
      <c r="A379" s="87" t="s">
        <v>1496</v>
      </c>
      <c r="B379" s="90" t="s">
        <v>1794</v>
      </c>
      <c r="C379" s="90">
        <v>8</v>
      </c>
      <c r="D379" s="114">
        <v>0.005020143404823441</v>
      </c>
      <c r="E379" s="114">
        <v>0.45892023222337114</v>
      </c>
      <c r="F379" s="90" t="s">
        <v>1378</v>
      </c>
      <c r="G379" s="90" t="b">
        <v>0</v>
      </c>
      <c r="H379" s="90" t="b">
        <v>0</v>
      </c>
      <c r="I379" s="90" t="b">
        <v>0</v>
      </c>
      <c r="J379" s="90" t="b">
        <v>0</v>
      </c>
      <c r="K379" s="90" t="b">
        <v>0</v>
      </c>
      <c r="L379" s="90" t="b">
        <v>0</v>
      </c>
    </row>
    <row r="380" spans="1:12" ht="15">
      <c r="A380" s="87" t="s">
        <v>539</v>
      </c>
      <c r="B380" s="90" t="s">
        <v>1495</v>
      </c>
      <c r="C380" s="90">
        <v>8</v>
      </c>
      <c r="D380" s="114">
        <v>0.005020143404823441</v>
      </c>
      <c r="E380" s="114">
        <v>0.3726341434072674</v>
      </c>
      <c r="F380" s="90" t="s">
        <v>1378</v>
      </c>
      <c r="G380" s="90" t="b">
        <v>0</v>
      </c>
      <c r="H380" s="90" t="b">
        <v>0</v>
      </c>
      <c r="I380" s="90" t="b">
        <v>0</v>
      </c>
      <c r="J380" s="90" t="b">
        <v>0</v>
      </c>
      <c r="K380" s="90" t="b">
        <v>0</v>
      </c>
      <c r="L380" s="90" t="b">
        <v>0</v>
      </c>
    </row>
    <row r="381" spans="1:12" ht="15">
      <c r="A381" s="87" t="s">
        <v>1499</v>
      </c>
      <c r="B381" s="90" t="s">
        <v>1495</v>
      </c>
      <c r="C381" s="90">
        <v>8</v>
      </c>
      <c r="D381" s="114">
        <v>0.005020143404823441</v>
      </c>
      <c r="E381" s="114">
        <v>0.2934528973596426</v>
      </c>
      <c r="F381" s="90" t="s">
        <v>1378</v>
      </c>
      <c r="G381" s="90" t="b">
        <v>0</v>
      </c>
      <c r="H381" s="90" t="b">
        <v>0</v>
      </c>
      <c r="I381" s="90" t="b">
        <v>0</v>
      </c>
      <c r="J381" s="90" t="b">
        <v>0</v>
      </c>
      <c r="K381" s="90" t="b">
        <v>0</v>
      </c>
      <c r="L381" s="90" t="b">
        <v>0</v>
      </c>
    </row>
    <row r="382" spans="1:12" ht="15">
      <c r="A382" s="87" t="s">
        <v>1496</v>
      </c>
      <c r="B382" s="90" t="s">
        <v>1800</v>
      </c>
      <c r="C382" s="90">
        <v>7</v>
      </c>
      <c r="D382" s="114">
        <v>0.004593190513234249</v>
      </c>
      <c r="E382" s="114">
        <v>0.5215022164515343</v>
      </c>
      <c r="F382" s="90" t="s">
        <v>1378</v>
      </c>
      <c r="G382" s="90" t="b">
        <v>0</v>
      </c>
      <c r="H382" s="90" t="b">
        <v>0</v>
      </c>
      <c r="I382" s="90" t="b">
        <v>0</v>
      </c>
      <c r="J382" s="90" t="b">
        <v>0</v>
      </c>
      <c r="K382" s="90" t="b">
        <v>0</v>
      </c>
      <c r="L382" s="90" t="b">
        <v>0</v>
      </c>
    </row>
    <row r="383" spans="1:12" ht="15">
      <c r="A383" s="87" t="s">
        <v>1503</v>
      </c>
      <c r="B383" s="90" t="s">
        <v>1495</v>
      </c>
      <c r="C383" s="90">
        <v>7</v>
      </c>
      <c r="D383" s="114">
        <v>0.004593190513234249</v>
      </c>
      <c r="E383" s="114">
        <v>0.3726341434072673</v>
      </c>
      <c r="F383" s="90" t="s">
        <v>1378</v>
      </c>
      <c r="G383" s="90" t="b">
        <v>0</v>
      </c>
      <c r="H383" s="90" t="b">
        <v>0</v>
      </c>
      <c r="I383" s="90" t="b">
        <v>0</v>
      </c>
      <c r="J383" s="90" t="b">
        <v>0</v>
      </c>
      <c r="K383" s="90" t="b">
        <v>0</v>
      </c>
      <c r="L383" s="90" t="b">
        <v>0</v>
      </c>
    </row>
    <row r="384" spans="1:12" ht="15">
      <c r="A384" s="87" t="s">
        <v>1497</v>
      </c>
      <c r="B384" s="90" t="s">
        <v>1794</v>
      </c>
      <c r="C384" s="90">
        <v>7</v>
      </c>
      <c r="D384" s="114">
        <v>0.004593190513234249</v>
      </c>
      <c r="E384" s="114">
        <v>0.8592226827058632</v>
      </c>
      <c r="F384" s="90" t="s">
        <v>1378</v>
      </c>
      <c r="G384" s="90" t="b">
        <v>0</v>
      </c>
      <c r="H384" s="90" t="b">
        <v>0</v>
      </c>
      <c r="I384" s="90" t="b">
        <v>0</v>
      </c>
      <c r="J384" s="90" t="b">
        <v>0</v>
      </c>
      <c r="K384" s="90" t="b">
        <v>0</v>
      </c>
      <c r="L384" s="90" t="b">
        <v>0</v>
      </c>
    </row>
    <row r="385" spans="1:12" ht="15">
      <c r="A385" s="87" t="s">
        <v>1814</v>
      </c>
      <c r="B385" s="90" t="s">
        <v>1806</v>
      </c>
      <c r="C385" s="90">
        <v>7</v>
      </c>
      <c r="D385" s="114">
        <v>0.004593190513234249</v>
      </c>
      <c r="E385" s="114">
        <v>2.0177287669604316</v>
      </c>
      <c r="F385" s="90" t="s">
        <v>1378</v>
      </c>
      <c r="G385" s="90" t="b">
        <v>0</v>
      </c>
      <c r="H385" s="90" t="b">
        <v>0</v>
      </c>
      <c r="I385" s="90" t="b">
        <v>0</v>
      </c>
      <c r="J385" s="90" t="b">
        <v>0</v>
      </c>
      <c r="K385" s="90" t="b">
        <v>0</v>
      </c>
      <c r="L385" s="90" t="b">
        <v>0</v>
      </c>
    </row>
    <row r="386" spans="1:12" ht="15">
      <c r="A386" s="87" t="s">
        <v>1819</v>
      </c>
      <c r="B386" s="90" t="s">
        <v>1816</v>
      </c>
      <c r="C386" s="90">
        <v>6</v>
      </c>
      <c r="D386" s="114">
        <v>0.004135479302456414</v>
      </c>
      <c r="E386" s="114">
        <v>2.1646617972748996</v>
      </c>
      <c r="F386" s="90" t="s">
        <v>1378</v>
      </c>
      <c r="G386" s="90" t="b">
        <v>0</v>
      </c>
      <c r="H386" s="90" t="b">
        <v>0</v>
      </c>
      <c r="I386" s="90" t="b">
        <v>0</v>
      </c>
      <c r="J386" s="90" t="b">
        <v>0</v>
      </c>
      <c r="K386" s="90" t="b">
        <v>0</v>
      </c>
      <c r="L386" s="90" t="b">
        <v>0</v>
      </c>
    </row>
    <row r="387" spans="1:12" ht="15">
      <c r="A387" s="87" t="s">
        <v>1800</v>
      </c>
      <c r="B387" s="90" t="s">
        <v>1495</v>
      </c>
      <c r="C387" s="90">
        <v>6</v>
      </c>
      <c r="D387" s="114">
        <v>0.004135479302456414</v>
      </c>
      <c r="E387" s="114">
        <v>0.4518153894548922</v>
      </c>
      <c r="F387" s="90" t="s">
        <v>1378</v>
      </c>
      <c r="G387" s="90" t="b">
        <v>0</v>
      </c>
      <c r="H387" s="90" t="b">
        <v>0</v>
      </c>
      <c r="I387" s="90" t="b">
        <v>0</v>
      </c>
      <c r="J387" s="90" t="b">
        <v>0</v>
      </c>
      <c r="K387" s="90" t="b">
        <v>0</v>
      </c>
      <c r="L387" s="90" t="b">
        <v>0</v>
      </c>
    </row>
    <row r="388" spans="1:12" ht="15">
      <c r="A388" s="87" t="s">
        <v>1500</v>
      </c>
      <c r="B388" s="90" t="s">
        <v>1495</v>
      </c>
      <c r="C388" s="90">
        <v>6</v>
      </c>
      <c r="D388" s="114">
        <v>0.004135479302456414</v>
      </c>
      <c r="E388" s="114">
        <v>0.2699718015101197</v>
      </c>
      <c r="F388" s="90" t="s">
        <v>1378</v>
      </c>
      <c r="G388" s="90" t="b">
        <v>0</v>
      </c>
      <c r="H388" s="90" t="b">
        <v>0</v>
      </c>
      <c r="I388" s="90" t="b">
        <v>0</v>
      </c>
      <c r="J388" s="90" t="b">
        <v>0</v>
      </c>
      <c r="K388" s="90" t="b">
        <v>0</v>
      </c>
      <c r="L388" s="90" t="b">
        <v>0</v>
      </c>
    </row>
    <row r="389" spans="1:12" ht="15">
      <c r="A389" s="87" t="s">
        <v>1803</v>
      </c>
      <c r="B389" s="90" t="s">
        <v>1495</v>
      </c>
      <c r="C389" s="90">
        <v>5</v>
      </c>
      <c r="D389" s="114">
        <v>0.0036418385970263226</v>
      </c>
      <c r="E389" s="114">
        <v>0.4281514712570987</v>
      </c>
      <c r="F389" s="90" t="s">
        <v>1378</v>
      </c>
      <c r="G389" s="90" t="b">
        <v>0</v>
      </c>
      <c r="H389" s="90" t="b">
        <v>0</v>
      </c>
      <c r="I389" s="90" t="b">
        <v>0</v>
      </c>
      <c r="J389" s="90" t="b">
        <v>0</v>
      </c>
      <c r="K389" s="90" t="b">
        <v>0</v>
      </c>
      <c r="L389" s="90" t="b">
        <v>0</v>
      </c>
    </row>
    <row r="390" spans="1:12" ht="15">
      <c r="A390" s="87" t="s">
        <v>1823</v>
      </c>
      <c r="B390" s="90" t="s">
        <v>1806</v>
      </c>
      <c r="C390" s="90">
        <v>5</v>
      </c>
      <c r="D390" s="114">
        <v>0.0036418385970263226</v>
      </c>
      <c r="E390" s="114">
        <v>1.9807452007072615</v>
      </c>
      <c r="F390" s="90" t="s">
        <v>1378</v>
      </c>
      <c r="G390" s="90" t="b">
        <v>0</v>
      </c>
      <c r="H390" s="90" t="b">
        <v>0</v>
      </c>
      <c r="I390" s="90" t="b">
        <v>0</v>
      </c>
      <c r="J390" s="90" t="b">
        <v>0</v>
      </c>
      <c r="K390" s="90" t="b">
        <v>0</v>
      </c>
      <c r="L390" s="90" t="b">
        <v>0</v>
      </c>
    </row>
    <row r="391" spans="1:12" ht="15">
      <c r="A391" s="87" t="s">
        <v>1496</v>
      </c>
      <c r="B391" s="90" t="s">
        <v>1815</v>
      </c>
      <c r="C391" s="90">
        <v>5</v>
      </c>
      <c r="D391" s="114">
        <v>0.0036418385970263226</v>
      </c>
      <c r="E391" s="114">
        <v>0.7733141894453338</v>
      </c>
      <c r="F391" s="90" t="s">
        <v>1378</v>
      </c>
      <c r="G391" s="90" t="b">
        <v>0</v>
      </c>
      <c r="H391" s="90" t="b">
        <v>0</v>
      </c>
      <c r="I391" s="90" t="b">
        <v>0</v>
      </c>
      <c r="J391" s="90" t="b">
        <v>0</v>
      </c>
      <c r="K391" s="90" t="b">
        <v>0</v>
      </c>
      <c r="L391" s="90" t="b">
        <v>0</v>
      </c>
    </row>
    <row r="392" spans="1:12" ht="15">
      <c r="A392" s="87" t="s">
        <v>1860</v>
      </c>
      <c r="B392" s="90" t="s">
        <v>1495</v>
      </c>
      <c r="C392" s="90">
        <v>5</v>
      </c>
      <c r="D392" s="114">
        <v>0.0036418385970263226</v>
      </c>
      <c r="E392" s="114">
        <v>1.0716041477432863</v>
      </c>
      <c r="F392" s="90" t="s">
        <v>1378</v>
      </c>
      <c r="G392" s="90" t="b">
        <v>0</v>
      </c>
      <c r="H392" s="90" t="b">
        <v>0</v>
      </c>
      <c r="I392" s="90" t="b">
        <v>0</v>
      </c>
      <c r="J392" s="90" t="b">
        <v>0</v>
      </c>
      <c r="K392" s="90" t="b">
        <v>0</v>
      </c>
      <c r="L392" s="90" t="b">
        <v>0</v>
      </c>
    </row>
    <row r="393" spans="1:12" ht="15">
      <c r="A393" s="87" t="s">
        <v>1498</v>
      </c>
      <c r="B393" s="90" t="s">
        <v>1795</v>
      </c>
      <c r="C393" s="90">
        <v>5</v>
      </c>
      <c r="D393" s="114">
        <v>0.0036418385970263226</v>
      </c>
      <c r="E393" s="114">
        <v>0.7904135025369701</v>
      </c>
      <c r="F393" s="90" t="s">
        <v>1378</v>
      </c>
      <c r="G393" s="90" t="b">
        <v>0</v>
      </c>
      <c r="H393" s="90" t="b">
        <v>1</v>
      </c>
      <c r="I393" s="90" t="b">
        <v>0</v>
      </c>
      <c r="J393" s="90" t="b">
        <v>0</v>
      </c>
      <c r="K393" s="90" t="b">
        <v>0</v>
      </c>
      <c r="L393" s="90" t="b">
        <v>0</v>
      </c>
    </row>
    <row r="394" spans="1:12" ht="15">
      <c r="A394" s="87" t="s">
        <v>1496</v>
      </c>
      <c r="B394" s="90" t="s">
        <v>1812</v>
      </c>
      <c r="C394" s="90">
        <v>5</v>
      </c>
      <c r="D394" s="114">
        <v>0.0036418385970263226</v>
      </c>
      <c r="E394" s="114">
        <v>0.7319215042871088</v>
      </c>
      <c r="F394" s="90" t="s">
        <v>1378</v>
      </c>
      <c r="G394" s="90" t="b">
        <v>0</v>
      </c>
      <c r="H394" s="90" t="b">
        <v>0</v>
      </c>
      <c r="I394" s="90" t="b">
        <v>0</v>
      </c>
      <c r="J394" s="90" t="b">
        <v>0</v>
      </c>
      <c r="K394" s="90" t="b">
        <v>0</v>
      </c>
      <c r="L394" s="90" t="b">
        <v>0</v>
      </c>
    </row>
    <row r="395" spans="1:12" ht="15">
      <c r="A395" s="87" t="s">
        <v>1499</v>
      </c>
      <c r="B395" s="90" t="s">
        <v>539</v>
      </c>
      <c r="C395" s="90">
        <v>5</v>
      </c>
      <c r="D395" s="114">
        <v>0.0036418385970263226</v>
      </c>
      <c r="E395" s="114">
        <v>0.6886700476962069</v>
      </c>
      <c r="F395" s="90" t="s">
        <v>1378</v>
      </c>
      <c r="G395" s="90" t="b">
        <v>0</v>
      </c>
      <c r="H395" s="90" t="b">
        <v>0</v>
      </c>
      <c r="I395" s="90" t="b">
        <v>0</v>
      </c>
      <c r="J395" s="90" t="b">
        <v>0</v>
      </c>
      <c r="K395" s="90" t="b">
        <v>0</v>
      </c>
      <c r="L395" s="90" t="b">
        <v>0</v>
      </c>
    </row>
    <row r="396" spans="1:12" ht="15">
      <c r="A396" s="87" t="s">
        <v>1496</v>
      </c>
      <c r="B396" s="90" t="s">
        <v>1810</v>
      </c>
      <c r="C396" s="90">
        <v>4</v>
      </c>
      <c r="D396" s="114">
        <v>0.003104992642459114</v>
      </c>
      <c r="E396" s="114">
        <v>0.5972229303896526</v>
      </c>
      <c r="F396" s="90" t="s">
        <v>1378</v>
      </c>
      <c r="G396" s="90" t="b">
        <v>0</v>
      </c>
      <c r="H396" s="90" t="b">
        <v>0</v>
      </c>
      <c r="I396" s="90" t="b">
        <v>0</v>
      </c>
      <c r="J396" s="90" t="b">
        <v>0</v>
      </c>
      <c r="K396" s="90" t="b">
        <v>0</v>
      </c>
      <c r="L396" s="90" t="b">
        <v>0</v>
      </c>
    </row>
    <row r="397" spans="1:12" ht="15">
      <c r="A397" s="87" t="s">
        <v>1799</v>
      </c>
      <c r="B397" s="90" t="s">
        <v>1801</v>
      </c>
      <c r="C397" s="90">
        <v>4</v>
      </c>
      <c r="D397" s="114">
        <v>0.003104992642459114</v>
      </c>
      <c r="E397" s="114">
        <v>1.0969100130080565</v>
      </c>
      <c r="F397" s="90" t="s">
        <v>1378</v>
      </c>
      <c r="G397" s="90" t="b">
        <v>0</v>
      </c>
      <c r="H397" s="90" t="b">
        <v>0</v>
      </c>
      <c r="I397" s="90" t="b">
        <v>0</v>
      </c>
      <c r="J397" s="90" t="b">
        <v>0</v>
      </c>
      <c r="K397" s="90" t="b">
        <v>0</v>
      </c>
      <c r="L397" s="90" t="b">
        <v>0</v>
      </c>
    </row>
    <row r="398" spans="1:12" ht="15">
      <c r="A398" s="87" t="s">
        <v>1803</v>
      </c>
      <c r="B398" s="90" t="s">
        <v>1795</v>
      </c>
      <c r="C398" s="90">
        <v>4</v>
      </c>
      <c r="D398" s="114">
        <v>0.003104992642459114</v>
      </c>
      <c r="E398" s="114">
        <v>1.041276888735221</v>
      </c>
      <c r="F398" s="90" t="s">
        <v>1378</v>
      </c>
      <c r="G398" s="90" t="b">
        <v>0</v>
      </c>
      <c r="H398" s="90" t="b">
        <v>0</v>
      </c>
      <c r="I398" s="90" t="b">
        <v>0</v>
      </c>
      <c r="J398" s="90" t="b">
        <v>0</v>
      </c>
      <c r="K398" s="90" t="b">
        <v>0</v>
      </c>
      <c r="L398" s="90" t="b">
        <v>0</v>
      </c>
    </row>
    <row r="399" spans="1:12" ht="15">
      <c r="A399" s="87" t="s">
        <v>1793</v>
      </c>
      <c r="B399" s="90" t="s">
        <v>1499</v>
      </c>
      <c r="C399" s="90">
        <v>4</v>
      </c>
      <c r="D399" s="114">
        <v>0.003104992642459114</v>
      </c>
      <c r="E399" s="114">
        <v>0.6714844884137274</v>
      </c>
      <c r="F399" s="90" t="s">
        <v>1378</v>
      </c>
      <c r="G399" s="90" t="b">
        <v>0</v>
      </c>
      <c r="H399" s="90" t="b">
        <v>0</v>
      </c>
      <c r="I399" s="90" t="b">
        <v>0</v>
      </c>
      <c r="J399" s="90" t="b">
        <v>0</v>
      </c>
      <c r="K399" s="90" t="b">
        <v>0</v>
      </c>
      <c r="L399" s="90" t="b">
        <v>0</v>
      </c>
    </row>
    <row r="400" spans="1:12" ht="15">
      <c r="A400" s="87" t="s">
        <v>1806</v>
      </c>
      <c r="B400" s="90" t="s">
        <v>1495</v>
      </c>
      <c r="C400" s="90">
        <v>4</v>
      </c>
      <c r="D400" s="114">
        <v>0.003104992642459114</v>
      </c>
      <c r="E400" s="114">
        <v>0.4695441564153237</v>
      </c>
      <c r="F400" s="90" t="s">
        <v>1378</v>
      </c>
      <c r="G400" s="90" t="b">
        <v>0</v>
      </c>
      <c r="H400" s="90" t="b">
        <v>0</v>
      </c>
      <c r="I400" s="90" t="b">
        <v>0</v>
      </c>
      <c r="J400" s="90" t="b">
        <v>0</v>
      </c>
      <c r="K400" s="90" t="b">
        <v>0</v>
      </c>
      <c r="L400" s="90" t="b">
        <v>0</v>
      </c>
    </row>
    <row r="401" spans="1:12" ht="15">
      <c r="A401" s="87" t="s">
        <v>1497</v>
      </c>
      <c r="B401" s="90" t="s">
        <v>1799</v>
      </c>
      <c r="C401" s="90">
        <v>4</v>
      </c>
      <c r="D401" s="114">
        <v>0.003104992642459114</v>
      </c>
      <c r="E401" s="114">
        <v>0.7197252259266383</v>
      </c>
      <c r="F401" s="90" t="s">
        <v>1378</v>
      </c>
      <c r="G401" s="90" t="b">
        <v>0</v>
      </c>
      <c r="H401" s="90" t="b">
        <v>0</v>
      </c>
      <c r="I401" s="90" t="b">
        <v>0</v>
      </c>
      <c r="J401" s="90" t="b">
        <v>0</v>
      </c>
      <c r="K401" s="90" t="b">
        <v>0</v>
      </c>
      <c r="L401" s="90" t="b">
        <v>0</v>
      </c>
    </row>
    <row r="402" spans="1:12" ht="15">
      <c r="A402" s="87" t="s">
        <v>1496</v>
      </c>
      <c r="B402" s="90" t="s">
        <v>1801</v>
      </c>
      <c r="C402" s="90">
        <v>4</v>
      </c>
      <c r="D402" s="114">
        <v>0.003104992642459114</v>
      </c>
      <c r="E402" s="114">
        <v>0.29619293472567143</v>
      </c>
      <c r="F402" s="90" t="s">
        <v>1378</v>
      </c>
      <c r="G402" s="90" t="b">
        <v>0</v>
      </c>
      <c r="H402" s="90" t="b">
        <v>0</v>
      </c>
      <c r="I402" s="90" t="b">
        <v>0</v>
      </c>
      <c r="J402" s="90" t="b">
        <v>0</v>
      </c>
      <c r="K402" s="90" t="b">
        <v>0</v>
      </c>
      <c r="L402" s="90" t="b">
        <v>0</v>
      </c>
    </row>
    <row r="403" spans="1:12" ht="15">
      <c r="A403" s="87" t="s">
        <v>1500</v>
      </c>
      <c r="B403" s="90" t="s">
        <v>1500</v>
      </c>
      <c r="C403" s="90">
        <v>4</v>
      </c>
      <c r="D403" s="114">
        <v>0.003104992642459114</v>
      </c>
      <c r="E403" s="114">
        <v>0.6618092111953034</v>
      </c>
      <c r="F403" s="90" t="s">
        <v>1378</v>
      </c>
      <c r="G403" s="90" t="b">
        <v>0</v>
      </c>
      <c r="H403" s="90" t="b">
        <v>0</v>
      </c>
      <c r="I403" s="90" t="b">
        <v>0</v>
      </c>
      <c r="J403" s="90" t="b">
        <v>0</v>
      </c>
      <c r="K403" s="90" t="b">
        <v>0</v>
      </c>
      <c r="L403" s="90" t="b">
        <v>0</v>
      </c>
    </row>
    <row r="404" spans="1:12" ht="15">
      <c r="A404" s="87" t="s">
        <v>1500</v>
      </c>
      <c r="B404" s="90" t="s">
        <v>1501</v>
      </c>
      <c r="C404" s="90">
        <v>4</v>
      </c>
      <c r="D404" s="114">
        <v>0.003104992642459114</v>
      </c>
      <c r="E404" s="114">
        <v>0.6932176754469276</v>
      </c>
      <c r="F404" s="90" t="s">
        <v>1378</v>
      </c>
      <c r="G404" s="90" t="b">
        <v>0</v>
      </c>
      <c r="H404" s="90" t="b">
        <v>0</v>
      </c>
      <c r="I404" s="90" t="b">
        <v>0</v>
      </c>
      <c r="J404" s="90" t="b">
        <v>0</v>
      </c>
      <c r="K404" s="90" t="b">
        <v>0</v>
      </c>
      <c r="L404" s="90" t="b">
        <v>0</v>
      </c>
    </row>
    <row r="405" spans="1:12" ht="15">
      <c r="A405" s="87" t="s">
        <v>1794</v>
      </c>
      <c r="B405" s="90" t="s">
        <v>1804</v>
      </c>
      <c r="C405" s="90">
        <v>4</v>
      </c>
      <c r="D405" s="114">
        <v>0.003104992642459114</v>
      </c>
      <c r="E405" s="114">
        <v>1.0476919903378747</v>
      </c>
      <c r="F405" s="90" t="s">
        <v>1378</v>
      </c>
      <c r="G405" s="90" t="b">
        <v>0</v>
      </c>
      <c r="H405" s="90" t="b">
        <v>0</v>
      </c>
      <c r="I405" s="90" t="b">
        <v>0</v>
      </c>
      <c r="J405" s="90" t="b">
        <v>0</v>
      </c>
      <c r="K405" s="90" t="b">
        <v>0</v>
      </c>
      <c r="L405" s="90" t="b">
        <v>0</v>
      </c>
    </row>
    <row r="406" spans="1:12" ht="15">
      <c r="A406" s="87" t="s">
        <v>1864</v>
      </c>
      <c r="B406" s="90" t="s">
        <v>1799</v>
      </c>
      <c r="C406" s="90">
        <v>4</v>
      </c>
      <c r="D406" s="114">
        <v>0.003104992642459114</v>
      </c>
      <c r="E406" s="114">
        <v>1.7611179110848634</v>
      </c>
      <c r="F406" s="90" t="s">
        <v>1378</v>
      </c>
      <c r="G406" s="90" t="b">
        <v>0</v>
      </c>
      <c r="H406" s="90" t="b">
        <v>0</v>
      </c>
      <c r="I406" s="90" t="b">
        <v>0</v>
      </c>
      <c r="J406" s="90" t="b">
        <v>0</v>
      </c>
      <c r="K406" s="90" t="b">
        <v>0</v>
      </c>
      <c r="L406" s="90" t="b">
        <v>0</v>
      </c>
    </row>
    <row r="407" spans="1:12" ht="15">
      <c r="A407" s="87" t="s">
        <v>1496</v>
      </c>
      <c r="B407" s="90" t="s">
        <v>1501</v>
      </c>
      <c r="C407" s="90">
        <v>4</v>
      </c>
      <c r="D407" s="114">
        <v>0.003104992642459114</v>
      </c>
      <c r="E407" s="114">
        <v>0.07434418510931508</v>
      </c>
      <c r="F407" s="90" t="s">
        <v>1378</v>
      </c>
      <c r="G407" s="90" t="b">
        <v>0</v>
      </c>
      <c r="H407" s="90" t="b">
        <v>0</v>
      </c>
      <c r="I407" s="90" t="b">
        <v>0</v>
      </c>
      <c r="J407" s="90" t="b">
        <v>0</v>
      </c>
      <c r="K407" s="90" t="b">
        <v>0</v>
      </c>
      <c r="L407" s="90" t="b">
        <v>0</v>
      </c>
    </row>
    <row r="408" spans="1:12" ht="15">
      <c r="A408" s="87" t="s">
        <v>1794</v>
      </c>
      <c r="B408" s="90" t="s">
        <v>1495</v>
      </c>
      <c r="C408" s="90">
        <v>4</v>
      </c>
      <c r="D408" s="114">
        <v>0.003104992642459114</v>
      </c>
      <c r="E408" s="114">
        <v>0.16851416075134254</v>
      </c>
      <c r="F408" s="90" t="s">
        <v>1378</v>
      </c>
      <c r="G408" s="90" t="b">
        <v>0</v>
      </c>
      <c r="H408" s="90" t="b">
        <v>0</v>
      </c>
      <c r="I408" s="90" t="b">
        <v>0</v>
      </c>
      <c r="J408" s="90" t="b">
        <v>0</v>
      </c>
      <c r="K408" s="90" t="b">
        <v>0</v>
      </c>
      <c r="L408" s="90" t="b">
        <v>0</v>
      </c>
    </row>
    <row r="409" spans="1:12" ht="15">
      <c r="A409" s="87" t="s">
        <v>1503</v>
      </c>
      <c r="B409" s="90" t="s">
        <v>1793</v>
      </c>
      <c r="C409" s="90">
        <v>4</v>
      </c>
      <c r="D409" s="114">
        <v>0.003104992642459114</v>
      </c>
      <c r="E409" s="114">
        <v>0.8124792791635369</v>
      </c>
      <c r="F409" s="90" t="s">
        <v>1378</v>
      </c>
      <c r="G409" s="90" t="b">
        <v>0</v>
      </c>
      <c r="H409" s="90" t="b">
        <v>0</v>
      </c>
      <c r="I409" s="90" t="b">
        <v>0</v>
      </c>
      <c r="J409" s="90" t="b">
        <v>0</v>
      </c>
      <c r="K409" s="90" t="b">
        <v>0</v>
      </c>
      <c r="L409" s="90" t="b">
        <v>0</v>
      </c>
    </row>
    <row r="410" spans="1:12" ht="15">
      <c r="A410" s="87" t="s">
        <v>1795</v>
      </c>
      <c r="B410" s="90" t="s">
        <v>1795</v>
      </c>
      <c r="C410" s="90">
        <v>4</v>
      </c>
      <c r="D410" s="114">
        <v>0.003699913582506507</v>
      </c>
      <c r="E410" s="114">
        <v>0.8785495912375214</v>
      </c>
      <c r="F410" s="90" t="s">
        <v>1378</v>
      </c>
      <c r="G410" s="90" t="b">
        <v>0</v>
      </c>
      <c r="H410" s="90" t="b">
        <v>0</v>
      </c>
      <c r="I410" s="90" t="b">
        <v>0</v>
      </c>
      <c r="J410" s="90" t="b">
        <v>0</v>
      </c>
      <c r="K410" s="90" t="b">
        <v>0</v>
      </c>
      <c r="L410" s="90" t="b">
        <v>0</v>
      </c>
    </row>
    <row r="411" spans="1:12" ht="15">
      <c r="A411" s="87" t="s">
        <v>1499</v>
      </c>
      <c r="B411" s="90" t="s">
        <v>1499</v>
      </c>
      <c r="C411" s="90">
        <v>4</v>
      </c>
      <c r="D411" s="114">
        <v>0.003104992642459114</v>
      </c>
      <c r="E411" s="114">
        <v>0.5217221680803953</v>
      </c>
      <c r="F411" s="90" t="s">
        <v>1378</v>
      </c>
      <c r="G411" s="90" t="b">
        <v>0</v>
      </c>
      <c r="H411" s="90" t="b">
        <v>0</v>
      </c>
      <c r="I411" s="90" t="b">
        <v>0</v>
      </c>
      <c r="J411" s="90" t="b">
        <v>0</v>
      </c>
      <c r="K411" s="90" t="b">
        <v>0</v>
      </c>
      <c r="L411" s="90" t="b">
        <v>0</v>
      </c>
    </row>
    <row r="412" spans="1:12" ht="15">
      <c r="A412" s="87" t="s">
        <v>1497</v>
      </c>
      <c r="B412" s="90" t="s">
        <v>1793</v>
      </c>
      <c r="C412" s="90">
        <v>3</v>
      </c>
      <c r="D412" s="114">
        <v>0.002513930356263752</v>
      </c>
      <c r="E412" s="114">
        <v>0.4912458974112688</v>
      </c>
      <c r="F412" s="90" t="s">
        <v>1378</v>
      </c>
      <c r="G412" s="90" t="b">
        <v>0</v>
      </c>
      <c r="H412" s="90" t="b">
        <v>0</v>
      </c>
      <c r="I412" s="90" t="b">
        <v>0</v>
      </c>
      <c r="J412" s="90" t="b">
        <v>0</v>
      </c>
      <c r="K412" s="90" t="b">
        <v>0</v>
      </c>
      <c r="L412" s="90" t="b">
        <v>0</v>
      </c>
    </row>
    <row r="413" spans="1:12" ht="15">
      <c r="A413" s="87" t="s">
        <v>1793</v>
      </c>
      <c r="B413" s="90" t="s">
        <v>1793</v>
      </c>
      <c r="C413" s="90">
        <v>3</v>
      </c>
      <c r="D413" s="114">
        <v>0.002513930356263752</v>
      </c>
      <c r="E413" s="114">
        <v>0.7001296698632574</v>
      </c>
      <c r="F413" s="90" t="s">
        <v>1378</v>
      </c>
      <c r="G413" s="90" t="b">
        <v>0</v>
      </c>
      <c r="H413" s="90" t="b">
        <v>0</v>
      </c>
      <c r="I413" s="90" t="b">
        <v>0</v>
      </c>
      <c r="J413" s="90" t="b">
        <v>0</v>
      </c>
      <c r="K413" s="90" t="b">
        <v>0</v>
      </c>
      <c r="L413" s="90" t="b">
        <v>0</v>
      </c>
    </row>
    <row r="414" spans="1:12" ht="15">
      <c r="A414" s="87" t="s">
        <v>1854</v>
      </c>
      <c r="B414" s="90" t="s">
        <v>1862</v>
      </c>
      <c r="C414" s="90">
        <v>3</v>
      </c>
      <c r="D414" s="114">
        <v>0.002513930356263752</v>
      </c>
      <c r="E414" s="114">
        <v>2.2730012720637376</v>
      </c>
      <c r="F414" s="90" t="s">
        <v>1378</v>
      </c>
      <c r="G414" s="90" t="b">
        <v>0</v>
      </c>
      <c r="H414" s="90" t="b">
        <v>0</v>
      </c>
      <c r="I414" s="90" t="b">
        <v>0</v>
      </c>
      <c r="J414" s="90" t="b">
        <v>0</v>
      </c>
      <c r="K414" s="90" t="b">
        <v>0</v>
      </c>
      <c r="L414" s="90" t="b">
        <v>0</v>
      </c>
    </row>
    <row r="415" spans="1:12" ht="15">
      <c r="A415" s="87" t="s">
        <v>1855</v>
      </c>
      <c r="B415" s="90" t="s">
        <v>1495</v>
      </c>
      <c r="C415" s="90">
        <v>3</v>
      </c>
      <c r="D415" s="114">
        <v>0.002513930356263752</v>
      </c>
      <c r="E415" s="114">
        <v>0.770574152079305</v>
      </c>
      <c r="F415" s="90" t="s">
        <v>1378</v>
      </c>
      <c r="G415" s="90" t="b">
        <v>0</v>
      </c>
      <c r="H415" s="90" t="b">
        <v>0</v>
      </c>
      <c r="I415" s="90" t="b">
        <v>0</v>
      </c>
      <c r="J415" s="90" t="b">
        <v>0</v>
      </c>
      <c r="K415" s="90" t="b">
        <v>0</v>
      </c>
      <c r="L415" s="90" t="b">
        <v>0</v>
      </c>
    </row>
    <row r="416" spans="1:12" ht="15">
      <c r="A416" s="87" t="s">
        <v>1809</v>
      </c>
      <c r="B416" s="90" t="s">
        <v>1533</v>
      </c>
      <c r="C416" s="90">
        <v>3</v>
      </c>
      <c r="D416" s="114">
        <v>0.002513930356263752</v>
      </c>
      <c r="E416" s="114">
        <v>1.562601805946937</v>
      </c>
      <c r="F416" s="90" t="s">
        <v>1378</v>
      </c>
      <c r="G416" s="90" t="b">
        <v>0</v>
      </c>
      <c r="H416" s="90" t="b">
        <v>0</v>
      </c>
      <c r="I416" s="90" t="b">
        <v>0</v>
      </c>
      <c r="J416" s="90" t="b">
        <v>0</v>
      </c>
      <c r="K416" s="90" t="b">
        <v>0</v>
      </c>
      <c r="L416" s="90" t="b">
        <v>0</v>
      </c>
    </row>
    <row r="417" spans="1:12" ht="15">
      <c r="A417" s="87" t="s">
        <v>1498</v>
      </c>
      <c r="B417" s="90" t="s">
        <v>1797</v>
      </c>
      <c r="C417" s="90">
        <v>3</v>
      </c>
      <c r="D417" s="114">
        <v>0.002513930356263752</v>
      </c>
      <c r="E417" s="114">
        <v>0.582805192035224</v>
      </c>
      <c r="F417" s="90" t="s">
        <v>1378</v>
      </c>
      <c r="G417" s="90" t="b">
        <v>0</v>
      </c>
      <c r="H417" s="90" t="b">
        <v>1</v>
      </c>
      <c r="I417" s="90" t="b">
        <v>0</v>
      </c>
      <c r="J417" s="90" t="b">
        <v>0</v>
      </c>
      <c r="K417" s="90" t="b">
        <v>0</v>
      </c>
      <c r="L417" s="90" t="b">
        <v>0</v>
      </c>
    </row>
    <row r="418" spans="1:12" ht="15">
      <c r="A418" s="87" t="s">
        <v>1796</v>
      </c>
      <c r="B418" s="90" t="s">
        <v>1793</v>
      </c>
      <c r="C418" s="90">
        <v>3</v>
      </c>
      <c r="D418" s="114">
        <v>0.002513930356263752</v>
      </c>
      <c r="E418" s="114">
        <v>0.7402468930712399</v>
      </c>
      <c r="F418" s="90" t="s">
        <v>1378</v>
      </c>
      <c r="G418" s="90" t="b">
        <v>0</v>
      </c>
      <c r="H418" s="90" t="b">
        <v>0</v>
      </c>
      <c r="I418" s="90" t="b">
        <v>0</v>
      </c>
      <c r="J418" s="90" t="b">
        <v>0</v>
      </c>
      <c r="K418" s="90" t="b">
        <v>0</v>
      </c>
      <c r="L418" s="90" t="b">
        <v>0</v>
      </c>
    </row>
    <row r="419" spans="1:12" ht="15">
      <c r="A419" s="87" t="s">
        <v>1799</v>
      </c>
      <c r="B419" s="90" t="s">
        <v>539</v>
      </c>
      <c r="C419" s="90">
        <v>3</v>
      </c>
      <c r="D419" s="114">
        <v>0.002513930356263752</v>
      </c>
      <c r="E419" s="114">
        <v>0.7501225267834001</v>
      </c>
      <c r="F419" s="90" t="s">
        <v>1378</v>
      </c>
      <c r="G419" s="90" t="b">
        <v>0</v>
      </c>
      <c r="H419" s="90" t="b">
        <v>0</v>
      </c>
      <c r="I419" s="90" t="b">
        <v>0</v>
      </c>
      <c r="J419" s="90" t="b">
        <v>0</v>
      </c>
      <c r="K419" s="90" t="b">
        <v>0</v>
      </c>
      <c r="L419" s="90" t="b">
        <v>0</v>
      </c>
    </row>
    <row r="420" spans="1:12" ht="15">
      <c r="A420" s="87" t="s">
        <v>1498</v>
      </c>
      <c r="B420" s="90" t="s">
        <v>1804</v>
      </c>
      <c r="C420" s="90">
        <v>3</v>
      </c>
      <c r="D420" s="114">
        <v>0.002513930356263752</v>
      </c>
      <c r="E420" s="114">
        <v>0.7377071520209673</v>
      </c>
      <c r="F420" s="90" t="s">
        <v>1378</v>
      </c>
      <c r="G420" s="90" t="b">
        <v>0</v>
      </c>
      <c r="H420" s="90" t="b">
        <v>1</v>
      </c>
      <c r="I420" s="90" t="b">
        <v>0</v>
      </c>
      <c r="J420" s="90" t="b">
        <v>0</v>
      </c>
      <c r="K420" s="90" t="b">
        <v>0</v>
      </c>
      <c r="L420" s="90" t="b">
        <v>0</v>
      </c>
    </row>
    <row r="421" spans="1:12" ht="15">
      <c r="A421" s="87" t="s">
        <v>1498</v>
      </c>
      <c r="B421" s="90" t="s">
        <v>1794</v>
      </c>
      <c r="C421" s="90">
        <v>3</v>
      </c>
      <c r="D421" s="114">
        <v>0.002513930356263752</v>
      </c>
      <c r="E421" s="114">
        <v>0.5414125068769989</v>
      </c>
      <c r="F421" s="90" t="s">
        <v>1378</v>
      </c>
      <c r="G421" s="90" t="b">
        <v>0</v>
      </c>
      <c r="H421" s="90" t="b">
        <v>1</v>
      </c>
      <c r="I421" s="90" t="b">
        <v>0</v>
      </c>
      <c r="J421" s="90" t="b">
        <v>0</v>
      </c>
      <c r="K421" s="90" t="b">
        <v>0</v>
      </c>
      <c r="L421" s="90" t="b">
        <v>0</v>
      </c>
    </row>
    <row r="422" spans="1:12" ht="15">
      <c r="A422" s="87" t="s">
        <v>1794</v>
      </c>
      <c r="B422" s="90" t="s">
        <v>1500</v>
      </c>
      <c r="C422" s="90">
        <v>3</v>
      </c>
      <c r="D422" s="114">
        <v>0.002513930356263752</v>
      </c>
      <c r="E422" s="114">
        <v>0.6115040928839076</v>
      </c>
      <c r="F422" s="90" t="s">
        <v>1378</v>
      </c>
      <c r="G422" s="90" t="b">
        <v>0</v>
      </c>
      <c r="H422" s="90" t="b">
        <v>0</v>
      </c>
      <c r="I422" s="90" t="b">
        <v>0</v>
      </c>
      <c r="J422" s="90" t="b">
        <v>0</v>
      </c>
      <c r="K422" s="90" t="b">
        <v>0</v>
      </c>
      <c r="L422" s="90" t="b">
        <v>0</v>
      </c>
    </row>
    <row r="423" spans="1:12" ht="15">
      <c r="A423" s="87" t="s">
        <v>1503</v>
      </c>
      <c r="B423" s="90" t="s">
        <v>1798</v>
      </c>
      <c r="C423" s="90">
        <v>3</v>
      </c>
      <c r="D423" s="114">
        <v>0.002513930356263752</v>
      </c>
      <c r="E423" s="114">
        <v>0.7588964510909053</v>
      </c>
      <c r="F423" s="90" t="s">
        <v>1378</v>
      </c>
      <c r="G423" s="90" t="b">
        <v>0</v>
      </c>
      <c r="H423" s="90" t="b">
        <v>0</v>
      </c>
      <c r="I423" s="90" t="b">
        <v>0</v>
      </c>
      <c r="J423" s="90" t="b">
        <v>0</v>
      </c>
      <c r="K423" s="90" t="b">
        <v>0</v>
      </c>
      <c r="L423" s="90" t="b">
        <v>0</v>
      </c>
    </row>
    <row r="424" spans="1:12" ht="15">
      <c r="A424" s="87" t="s">
        <v>1800</v>
      </c>
      <c r="B424" s="90" t="s">
        <v>1798</v>
      </c>
      <c r="C424" s="90">
        <v>3</v>
      </c>
      <c r="D424" s="114">
        <v>0.002513930356263752</v>
      </c>
      <c r="E424" s="114">
        <v>0.9050244867691433</v>
      </c>
      <c r="F424" s="90" t="s">
        <v>1378</v>
      </c>
      <c r="G424" s="90" t="b">
        <v>0</v>
      </c>
      <c r="H424" s="90" t="b">
        <v>0</v>
      </c>
      <c r="I424" s="90" t="b">
        <v>0</v>
      </c>
      <c r="J424" s="90" t="b">
        <v>0</v>
      </c>
      <c r="K424" s="90" t="b">
        <v>0</v>
      </c>
      <c r="L424" s="90" t="b">
        <v>0</v>
      </c>
    </row>
    <row r="425" spans="1:12" ht="15">
      <c r="A425" s="87" t="s">
        <v>539</v>
      </c>
      <c r="B425" s="90" t="s">
        <v>1499</v>
      </c>
      <c r="C425" s="90">
        <v>3</v>
      </c>
      <c r="D425" s="114">
        <v>0.002513930356263752</v>
      </c>
      <c r="E425" s="114">
        <v>0.47596467751972027</v>
      </c>
      <c r="F425" s="90" t="s">
        <v>1378</v>
      </c>
      <c r="G425" s="90" t="b">
        <v>0</v>
      </c>
      <c r="H425" s="90" t="b">
        <v>0</v>
      </c>
      <c r="I425" s="90" t="b">
        <v>0</v>
      </c>
      <c r="J425" s="90" t="b">
        <v>0</v>
      </c>
      <c r="K425" s="90" t="b">
        <v>0</v>
      </c>
      <c r="L425" s="90" t="b">
        <v>0</v>
      </c>
    </row>
    <row r="426" spans="1:12" ht="15">
      <c r="A426" s="87" t="s">
        <v>1499</v>
      </c>
      <c r="B426" s="90" t="s">
        <v>1793</v>
      </c>
      <c r="C426" s="90">
        <v>3</v>
      </c>
      <c r="D426" s="114">
        <v>0.002513930356263752</v>
      </c>
      <c r="E426" s="114">
        <v>0.5503673495299254</v>
      </c>
      <c r="F426" s="90" t="s">
        <v>1378</v>
      </c>
      <c r="G426" s="90" t="b">
        <v>0</v>
      </c>
      <c r="H426" s="90" t="b">
        <v>0</v>
      </c>
      <c r="I426" s="90" t="b">
        <v>0</v>
      </c>
      <c r="J426" s="90" t="b">
        <v>0</v>
      </c>
      <c r="K426" s="90" t="b">
        <v>0</v>
      </c>
      <c r="L426" s="90" t="b">
        <v>0</v>
      </c>
    </row>
    <row r="427" spans="1:12" ht="15">
      <c r="A427" s="87" t="s">
        <v>1793</v>
      </c>
      <c r="B427" s="90" t="s">
        <v>1500</v>
      </c>
      <c r="C427" s="90">
        <v>3</v>
      </c>
      <c r="D427" s="114">
        <v>0.002513930356263752</v>
      </c>
      <c r="E427" s="114">
        <v>0.5851751541615584</v>
      </c>
      <c r="F427" s="90" t="s">
        <v>1378</v>
      </c>
      <c r="G427" s="90" t="b">
        <v>0</v>
      </c>
      <c r="H427" s="90" t="b">
        <v>0</v>
      </c>
      <c r="I427" s="90" t="b">
        <v>0</v>
      </c>
      <c r="J427" s="90" t="b">
        <v>0</v>
      </c>
      <c r="K427" s="90" t="b">
        <v>0</v>
      </c>
      <c r="L427" s="90" t="b">
        <v>0</v>
      </c>
    </row>
    <row r="428" spans="1:12" ht="15">
      <c r="A428" s="87" t="s">
        <v>1808</v>
      </c>
      <c r="B428" s="90" t="s">
        <v>1812</v>
      </c>
      <c r="C428" s="90">
        <v>3</v>
      </c>
      <c r="D428" s="114">
        <v>0.002513930356263752</v>
      </c>
      <c r="E428" s="114">
        <v>1.5046098589692503</v>
      </c>
      <c r="F428" s="90" t="s">
        <v>1378</v>
      </c>
      <c r="G428" s="90" t="b">
        <v>0</v>
      </c>
      <c r="H428" s="90" t="b">
        <v>0</v>
      </c>
      <c r="I428" s="90" t="b">
        <v>0</v>
      </c>
      <c r="J428" s="90" t="b">
        <v>0</v>
      </c>
      <c r="K428" s="90" t="b">
        <v>0</v>
      </c>
      <c r="L428" s="90" t="b">
        <v>0</v>
      </c>
    </row>
    <row r="429" spans="1:12" ht="15">
      <c r="A429" s="87" t="s">
        <v>539</v>
      </c>
      <c r="B429" s="90" t="s">
        <v>1795</v>
      </c>
      <c r="C429" s="90">
        <v>3</v>
      </c>
      <c r="D429" s="114">
        <v>0.002513930356263752</v>
      </c>
      <c r="E429" s="114">
        <v>0.656700841621165</v>
      </c>
      <c r="F429" s="90" t="s">
        <v>1378</v>
      </c>
      <c r="G429" s="90" t="b">
        <v>0</v>
      </c>
      <c r="H429" s="90" t="b">
        <v>0</v>
      </c>
      <c r="I429" s="90" t="b">
        <v>0</v>
      </c>
      <c r="J429" s="90" t="b">
        <v>0</v>
      </c>
      <c r="K429" s="90" t="b">
        <v>0</v>
      </c>
      <c r="L429" s="90" t="b">
        <v>0</v>
      </c>
    </row>
    <row r="430" spans="1:12" ht="15">
      <c r="A430" s="87" t="s">
        <v>1795</v>
      </c>
      <c r="B430" s="90" t="s">
        <v>1501</v>
      </c>
      <c r="C430" s="90">
        <v>3</v>
      </c>
      <c r="D430" s="114">
        <v>0.002513930356263752</v>
      </c>
      <c r="E430" s="114">
        <v>0.6429125571355317</v>
      </c>
      <c r="F430" s="90" t="s">
        <v>1378</v>
      </c>
      <c r="G430" s="90" t="b">
        <v>0</v>
      </c>
      <c r="H430" s="90" t="b">
        <v>0</v>
      </c>
      <c r="I430" s="90" t="b">
        <v>0</v>
      </c>
      <c r="J430" s="90" t="b">
        <v>0</v>
      </c>
      <c r="K430" s="90" t="b">
        <v>0</v>
      </c>
      <c r="L430" s="90" t="b">
        <v>0</v>
      </c>
    </row>
    <row r="431" spans="1:12" ht="15">
      <c r="A431" s="87" t="s">
        <v>1795</v>
      </c>
      <c r="B431" s="90" t="s">
        <v>1799</v>
      </c>
      <c r="C431" s="90">
        <v>3</v>
      </c>
      <c r="D431" s="114">
        <v>0.002513930356263752</v>
      </c>
      <c r="E431" s="114">
        <v>0.8299992004926762</v>
      </c>
      <c r="F431" s="90" t="s">
        <v>1378</v>
      </c>
      <c r="G431" s="90" t="b">
        <v>0</v>
      </c>
      <c r="H431" s="90" t="b">
        <v>0</v>
      </c>
      <c r="I431" s="90" t="b">
        <v>0</v>
      </c>
      <c r="J431" s="90" t="b">
        <v>0</v>
      </c>
      <c r="K431" s="90" t="b">
        <v>0</v>
      </c>
      <c r="L431" s="90" t="b">
        <v>0</v>
      </c>
    </row>
    <row r="432" spans="1:12" ht="15">
      <c r="A432" s="87" t="s">
        <v>1498</v>
      </c>
      <c r="B432" s="90" t="s">
        <v>1501</v>
      </c>
      <c r="C432" s="90">
        <v>3</v>
      </c>
      <c r="D432" s="114">
        <v>0.002513930356263752</v>
      </c>
      <c r="E432" s="114">
        <v>0.45786645542692406</v>
      </c>
      <c r="F432" s="90" t="s">
        <v>1378</v>
      </c>
      <c r="G432" s="90" t="b">
        <v>0</v>
      </c>
      <c r="H432" s="90" t="b">
        <v>1</v>
      </c>
      <c r="I432" s="90" t="b">
        <v>0</v>
      </c>
      <c r="J432" s="90" t="b">
        <v>0</v>
      </c>
      <c r="K432" s="90" t="b">
        <v>0</v>
      </c>
      <c r="L432" s="90" t="b">
        <v>0</v>
      </c>
    </row>
    <row r="433" spans="1:12" ht="15">
      <c r="A433" s="87" t="s">
        <v>1498</v>
      </c>
      <c r="B433" s="90" t="s">
        <v>539</v>
      </c>
      <c r="C433" s="90">
        <v>3</v>
      </c>
      <c r="D433" s="114">
        <v>0.002513930356263752</v>
      </c>
      <c r="E433" s="114">
        <v>0.45786645542692406</v>
      </c>
      <c r="F433" s="90" t="s">
        <v>1378</v>
      </c>
      <c r="G433" s="90" t="b">
        <v>0</v>
      </c>
      <c r="H433" s="90" t="b">
        <v>1</v>
      </c>
      <c r="I433" s="90" t="b">
        <v>0</v>
      </c>
      <c r="J433" s="90" t="b">
        <v>0</v>
      </c>
      <c r="K433" s="90" t="b">
        <v>0</v>
      </c>
      <c r="L433" s="90" t="b">
        <v>0</v>
      </c>
    </row>
    <row r="434" spans="1:12" ht="15">
      <c r="A434" s="87" t="s">
        <v>1818</v>
      </c>
      <c r="B434" s="90" t="s">
        <v>1809</v>
      </c>
      <c r="C434" s="90">
        <v>3</v>
      </c>
      <c r="D434" s="114">
        <v>0.002513930356263752</v>
      </c>
      <c r="E434" s="114">
        <v>1.708729841625175</v>
      </c>
      <c r="F434" s="90" t="s">
        <v>1378</v>
      </c>
      <c r="G434" s="90" t="b">
        <v>0</v>
      </c>
      <c r="H434" s="90" t="b">
        <v>0</v>
      </c>
      <c r="I434" s="90" t="b">
        <v>0</v>
      </c>
      <c r="J434" s="90" t="b">
        <v>0</v>
      </c>
      <c r="K434" s="90" t="b">
        <v>0</v>
      </c>
      <c r="L434" s="90" t="b">
        <v>0</v>
      </c>
    </row>
    <row r="435" spans="1:12" ht="15">
      <c r="A435" s="87" t="s">
        <v>1496</v>
      </c>
      <c r="B435" s="90" t="s">
        <v>1495</v>
      </c>
      <c r="C435" s="90">
        <v>3</v>
      </c>
      <c r="D435" s="114">
        <v>0.002513930356263752</v>
      </c>
      <c r="E435" s="114">
        <v>-0.6499316844914741</v>
      </c>
      <c r="F435" s="90" t="s">
        <v>1378</v>
      </c>
      <c r="G435" s="90" t="b">
        <v>0</v>
      </c>
      <c r="H435" s="90" t="b">
        <v>0</v>
      </c>
      <c r="I435" s="90" t="b">
        <v>0</v>
      </c>
      <c r="J435" s="90" t="b">
        <v>0</v>
      </c>
      <c r="K435" s="90" t="b">
        <v>0</v>
      </c>
      <c r="L435" s="90" t="b">
        <v>0</v>
      </c>
    </row>
    <row r="436" spans="1:12" ht="15">
      <c r="A436" s="87" t="s">
        <v>1891</v>
      </c>
      <c r="B436" s="90" t="s">
        <v>1800</v>
      </c>
      <c r="C436" s="90">
        <v>3</v>
      </c>
      <c r="D436" s="114">
        <v>0.002513930356263752</v>
      </c>
      <c r="E436" s="114">
        <v>1.8750612633917</v>
      </c>
      <c r="F436" s="90" t="s">
        <v>1378</v>
      </c>
      <c r="G436" s="90" t="b">
        <v>0</v>
      </c>
      <c r="H436" s="90" t="b">
        <v>0</v>
      </c>
      <c r="I436" s="90" t="b">
        <v>0</v>
      </c>
      <c r="J436" s="90" t="b">
        <v>0</v>
      </c>
      <c r="K436" s="90" t="b">
        <v>0</v>
      </c>
      <c r="L436" s="90" t="b">
        <v>0</v>
      </c>
    </row>
    <row r="437" spans="1:12" ht="15">
      <c r="A437" s="87" t="s">
        <v>1794</v>
      </c>
      <c r="B437" s="90" t="s">
        <v>1501</v>
      </c>
      <c r="C437" s="90">
        <v>3</v>
      </c>
      <c r="D437" s="114">
        <v>0.002513930356263752</v>
      </c>
      <c r="E437" s="114">
        <v>0.6429125571355317</v>
      </c>
      <c r="F437" s="90" t="s">
        <v>1378</v>
      </c>
      <c r="G437" s="90" t="b">
        <v>0</v>
      </c>
      <c r="H437" s="90" t="b">
        <v>0</v>
      </c>
      <c r="I437" s="90" t="b">
        <v>0</v>
      </c>
      <c r="J437" s="90" t="b">
        <v>0</v>
      </c>
      <c r="K437" s="90" t="b">
        <v>0</v>
      </c>
      <c r="L437" s="90" t="b">
        <v>0</v>
      </c>
    </row>
    <row r="438" spans="1:12" ht="15">
      <c r="A438" s="87" t="s">
        <v>1900</v>
      </c>
      <c r="B438" s="90" t="s">
        <v>1495</v>
      </c>
      <c r="C438" s="90">
        <v>3</v>
      </c>
      <c r="D438" s="114">
        <v>0.002513930356263752</v>
      </c>
      <c r="E438" s="114">
        <v>1.0716041477432863</v>
      </c>
      <c r="F438" s="90" t="s">
        <v>1378</v>
      </c>
      <c r="G438" s="90" t="b">
        <v>0</v>
      </c>
      <c r="H438" s="90" t="b">
        <v>0</v>
      </c>
      <c r="I438" s="90" t="b">
        <v>0</v>
      </c>
      <c r="J438" s="90" t="b">
        <v>0</v>
      </c>
      <c r="K438" s="90" t="b">
        <v>0</v>
      </c>
      <c r="L438" s="90" t="b">
        <v>0</v>
      </c>
    </row>
    <row r="439" spans="1:12" ht="15">
      <c r="A439" s="87" t="s">
        <v>1497</v>
      </c>
      <c r="B439" s="90" t="s">
        <v>1500</v>
      </c>
      <c r="C439" s="90">
        <v>3</v>
      </c>
      <c r="D439" s="114">
        <v>0.002513930356263752</v>
      </c>
      <c r="E439" s="114">
        <v>0.3762913817095697</v>
      </c>
      <c r="F439" s="90" t="s">
        <v>1378</v>
      </c>
      <c r="G439" s="90" t="b">
        <v>0</v>
      </c>
      <c r="H439" s="90" t="b">
        <v>0</v>
      </c>
      <c r="I439" s="90" t="b">
        <v>0</v>
      </c>
      <c r="J439" s="90" t="b">
        <v>0</v>
      </c>
      <c r="K439" s="90" t="b">
        <v>0</v>
      </c>
      <c r="L439" s="90" t="b">
        <v>0</v>
      </c>
    </row>
    <row r="440" spans="1:12" ht="15">
      <c r="A440" s="87" t="s">
        <v>1892</v>
      </c>
      <c r="B440" s="90" t="s">
        <v>1858</v>
      </c>
      <c r="C440" s="90">
        <v>3</v>
      </c>
      <c r="D440" s="114">
        <v>0.002513930356263752</v>
      </c>
      <c r="E440" s="114">
        <v>2.574031267727719</v>
      </c>
      <c r="F440" s="90" t="s">
        <v>1378</v>
      </c>
      <c r="G440" s="90" t="b">
        <v>0</v>
      </c>
      <c r="H440" s="90" t="b">
        <v>0</v>
      </c>
      <c r="I440" s="90" t="b">
        <v>0</v>
      </c>
      <c r="J440" s="90" t="b">
        <v>0</v>
      </c>
      <c r="K440" s="90" t="b">
        <v>0</v>
      </c>
      <c r="L440" s="90" t="b">
        <v>0</v>
      </c>
    </row>
    <row r="441" spans="1:12" ht="15">
      <c r="A441" s="87" t="s">
        <v>1806</v>
      </c>
      <c r="B441" s="90" t="s">
        <v>1801</v>
      </c>
      <c r="C441" s="90">
        <v>3</v>
      </c>
      <c r="D441" s="114">
        <v>0.002513930356263752</v>
      </c>
      <c r="E441" s="114">
        <v>1.1657913024158693</v>
      </c>
      <c r="F441" s="90" t="s">
        <v>1378</v>
      </c>
      <c r="G441" s="90" t="b">
        <v>0</v>
      </c>
      <c r="H441" s="90" t="b">
        <v>0</v>
      </c>
      <c r="I441" s="90" t="b">
        <v>0</v>
      </c>
      <c r="J441" s="90" t="b">
        <v>0</v>
      </c>
      <c r="K441" s="90" t="b">
        <v>0</v>
      </c>
      <c r="L441" s="90" t="b">
        <v>0</v>
      </c>
    </row>
    <row r="442" spans="1:12" ht="15">
      <c r="A442" s="87" t="s">
        <v>1500</v>
      </c>
      <c r="B442" s="90" t="s">
        <v>1804</v>
      </c>
      <c r="C442" s="90">
        <v>3</v>
      </c>
      <c r="D442" s="114">
        <v>0.002513930356263752</v>
      </c>
      <c r="E442" s="114">
        <v>0.8481196354326708</v>
      </c>
      <c r="F442" s="90" t="s">
        <v>1378</v>
      </c>
      <c r="G442" s="90" t="b">
        <v>0</v>
      </c>
      <c r="H442" s="90" t="b">
        <v>0</v>
      </c>
      <c r="I442" s="90" t="b">
        <v>0</v>
      </c>
      <c r="J442" s="90" t="b">
        <v>0</v>
      </c>
      <c r="K442" s="90" t="b">
        <v>0</v>
      </c>
      <c r="L442" s="90" t="b">
        <v>0</v>
      </c>
    </row>
    <row r="443" spans="1:12" ht="15">
      <c r="A443" s="87" t="s">
        <v>1793</v>
      </c>
      <c r="B443" s="90" t="s">
        <v>1501</v>
      </c>
      <c r="C443" s="90">
        <v>3</v>
      </c>
      <c r="D443" s="114">
        <v>0.002513930356263752</v>
      </c>
      <c r="E443" s="114">
        <v>0.6165836184131825</v>
      </c>
      <c r="F443" s="90" t="s">
        <v>1378</v>
      </c>
      <c r="G443" s="90" t="b">
        <v>0</v>
      </c>
      <c r="H443" s="90" t="b">
        <v>0</v>
      </c>
      <c r="I443" s="90" t="b">
        <v>0</v>
      </c>
      <c r="J443" s="90" t="b">
        <v>0</v>
      </c>
      <c r="K443" s="90" t="b">
        <v>0</v>
      </c>
      <c r="L443" s="90" t="b">
        <v>0</v>
      </c>
    </row>
    <row r="444" spans="1:12" ht="15">
      <c r="A444" s="87" t="s">
        <v>1475</v>
      </c>
      <c r="B444" s="90" t="s">
        <v>1882</v>
      </c>
      <c r="C444" s="90">
        <v>2</v>
      </c>
      <c r="D444" s="114">
        <v>0.0018499567912532535</v>
      </c>
      <c r="E444" s="114">
        <v>2.795880017344075</v>
      </c>
      <c r="F444" s="90" t="s">
        <v>1378</v>
      </c>
      <c r="G444" s="90" t="b">
        <v>0</v>
      </c>
      <c r="H444" s="90" t="b">
        <v>0</v>
      </c>
      <c r="I444" s="90" t="b">
        <v>0</v>
      </c>
      <c r="J444" s="90" t="b">
        <v>0</v>
      </c>
      <c r="K444" s="90" t="b">
        <v>0</v>
      </c>
      <c r="L444" s="90" t="b">
        <v>0</v>
      </c>
    </row>
    <row r="445" spans="1:12" ht="15">
      <c r="A445" s="87" t="s">
        <v>1882</v>
      </c>
      <c r="B445" s="90" t="s">
        <v>1478</v>
      </c>
      <c r="C445" s="90">
        <v>2</v>
      </c>
      <c r="D445" s="114">
        <v>0.0018499567912532535</v>
      </c>
      <c r="E445" s="114">
        <v>2.670941280735775</v>
      </c>
      <c r="F445" s="90" t="s">
        <v>1378</v>
      </c>
      <c r="G445" s="90" t="b">
        <v>0</v>
      </c>
      <c r="H445" s="90" t="b">
        <v>0</v>
      </c>
      <c r="I445" s="90" t="b">
        <v>0</v>
      </c>
      <c r="J445" s="90" t="b">
        <v>0</v>
      </c>
      <c r="K445" s="90" t="b">
        <v>0</v>
      </c>
      <c r="L445" s="90" t="b">
        <v>0</v>
      </c>
    </row>
    <row r="446" spans="1:12" ht="15">
      <c r="A446" s="87" t="s">
        <v>1478</v>
      </c>
      <c r="B446" s="90" t="s">
        <v>1921</v>
      </c>
      <c r="C446" s="90">
        <v>2</v>
      </c>
      <c r="D446" s="114">
        <v>0.0018499567912532535</v>
      </c>
      <c r="E446" s="114">
        <v>2.670941280735775</v>
      </c>
      <c r="F446" s="90" t="s">
        <v>1378</v>
      </c>
      <c r="G446" s="90" t="b">
        <v>0</v>
      </c>
      <c r="H446" s="90" t="b">
        <v>0</v>
      </c>
      <c r="I446" s="90" t="b">
        <v>0</v>
      </c>
      <c r="J446" s="90" t="b">
        <v>0</v>
      </c>
      <c r="K446" s="90" t="b">
        <v>0</v>
      </c>
      <c r="L446" s="90" t="b">
        <v>0</v>
      </c>
    </row>
    <row r="447" spans="1:12" ht="15">
      <c r="A447" s="87" t="s">
        <v>1921</v>
      </c>
      <c r="B447" s="90" t="s">
        <v>1495</v>
      </c>
      <c r="C447" s="90">
        <v>2</v>
      </c>
      <c r="D447" s="114">
        <v>0.0018499567912532535</v>
      </c>
      <c r="E447" s="114">
        <v>1.071604147743286</v>
      </c>
      <c r="F447" s="90" t="s">
        <v>1378</v>
      </c>
      <c r="G447" s="90" t="b">
        <v>0</v>
      </c>
      <c r="H447" s="90" t="b">
        <v>0</v>
      </c>
      <c r="I447" s="90" t="b">
        <v>0</v>
      </c>
      <c r="J447" s="90" t="b">
        <v>0</v>
      </c>
      <c r="K447" s="90" t="b">
        <v>0</v>
      </c>
      <c r="L447" s="90" t="b">
        <v>0</v>
      </c>
    </row>
    <row r="448" spans="1:12" ht="15">
      <c r="A448" s="87" t="s">
        <v>1810</v>
      </c>
      <c r="B448" s="90" t="s">
        <v>1866</v>
      </c>
      <c r="C448" s="90">
        <v>2</v>
      </c>
      <c r="D448" s="114">
        <v>0.0018499567912532535</v>
      </c>
      <c r="E448" s="114">
        <v>2.0555173278498313</v>
      </c>
      <c r="F448" s="90" t="s">
        <v>1378</v>
      </c>
      <c r="G448" s="90" t="b">
        <v>0</v>
      </c>
      <c r="H448" s="90" t="b">
        <v>0</v>
      </c>
      <c r="I448" s="90" t="b">
        <v>0</v>
      </c>
      <c r="J448" s="90" t="b">
        <v>0</v>
      </c>
      <c r="K448" s="90" t="b">
        <v>0</v>
      </c>
      <c r="L448" s="90" t="b">
        <v>0</v>
      </c>
    </row>
    <row r="449" spans="1:12" ht="15">
      <c r="A449" s="87" t="s">
        <v>1866</v>
      </c>
      <c r="B449" s="90" t="s">
        <v>1922</v>
      </c>
      <c r="C449" s="90">
        <v>2</v>
      </c>
      <c r="D449" s="114">
        <v>0.0018499567912532535</v>
      </c>
      <c r="E449" s="114">
        <v>2.795880017344075</v>
      </c>
      <c r="F449" s="90" t="s">
        <v>1378</v>
      </c>
      <c r="G449" s="90" t="b">
        <v>0</v>
      </c>
      <c r="H449" s="90" t="b">
        <v>0</v>
      </c>
      <c r="I449" s="90" t="b">
        <v>0</v>
      </c>
      <c r="J449" s="90" t="b">
        <v>0</v>
      </c>
      <c r="K449" s="90" t="b">
        <v>0</v>
      </c>
      <c r="L449" s="90" t="b">
        <v>0</v>
      </c>
    </row>
    <row r="450" spans="1:12" ht="15">
      <c r="A450" s="87" t="s">
        <v>2036</v>
      </c>
      <c r="B450" s="90" t="s">
        <v>2037</v>
      </c>
      <c r="C450" s="90">
        <v>2</v>
      </c>
      <c r="D450" s="114">
        <v>0.0021474172612769506</v>
      </c>
      <c r="E450" s="114">
        <v>2.9719712763997563</v>
      </c>
      <c r="F450" s="90" t="s">
        <v>1378</v>
      </c>
      <c r="G450" s="90" t="b">
        <v>0</v>
      </c>
      <c r="H450" s="90" t="b">
        <v>0</v>
      </c>
      <c r="I450" s="90" t="b">
        <v>0</v>
      </c>
      <c r="J450" s="90" t="b">
        <v>0</v>
      </c>
      <c r="K450" s="90" t="b">
        <v>0</v>
      </c>
      <c r="L450" s="90" t="b">
        <v>0</v>
      </c>
    </row>
    <row r="451" spans="1:12" ht="15">
      <c r="A451" s="87" t="s">
        <v>2038</v>
      </c>
      <c r="B451" s="90" t="s">
        <v>1911</v>
      </c>
      <c r="C451" s="90">
        <v>2</v>
      </c>
      <c r="D451" s="114">
        <v>0.0021474172612769506</v>
      </c>
      <c r="E451" s="114">
        <v>2.795880017344075</v>
      </c>
      <c r="F451" s="90" t="s">
        <v>1378</v>
      </c>
      <c r="G451" s="90" t="b">
        <v>0</v>
      </c>
      <c r="H451" s="90" t="b">
        <v>0</v>
      </c>
      <c r="I451" s="90" t="b">
        <v>0</v>
      </c>
      <c r="J451" s="90" t="b">
        <v>0</v>
      </c>
      <c r="K451" s="90" t="b">
        <v>0</v>
      </c>
      <c r="L451" s="90" t="b">
        <v>0</v>
      </c>
    </row>
    <row r="452" spans="1:12" ht="15">
      <c r="A452" s="87" t="s">
        <v>1499</v>
      </c>
      <c r="B452" s="90" t="s">
        <v>1797</v>
      </c>
      <c r="C452" s="90">
        <v>2</v>
      </c>
      <c r="D452" s="114">
        <v>0.0018499567912532535</v>
      </c>
      <c r="E452" s="114">
        <v>0.4156687756324692</v>
      </c>
      <c r="F452" s="90" t="s">
        <v>1378</v>
      </c>
      <c r="G452" s="90" t="b">
        <v>0</v>
      </c>
      <c r="H452" s="90" t="b">
        <v>0</v>
      </c>
      <c r="I452" s="90" t="b">
        <v>0</v>
      </c>
      <c r="J452" s="90" t="b">
        <v>0</v>
      </c>
      <c r="K452" s="90" t="b">
        <v>0</v>
      </c>
      <c r="L452" s="90" t="b">
        <v>0</v>
      </c>
    </row>
    <row r="453" spans="1:12" ht="15">
      <c r="A453" s="87" t="s">
        <v>1499</v>
      </c>
      <c r="B453" s="90" t="s">
        <v>1799</v>
      </c>
      <c r="C453" s="90">
        <v>2</v>
      </c>
      <c r="D453" s="114">
        <v>0.0018499567912532535</v>
      </c>
      <c r="E453" s="114">
        <v>0.4778166823813137</v>
      </c>
      <c r="F453" s="90" t="s">
        <v>1378</v>
      </c>
      <c r="G453" s="90" t="b">
        <v>0</v>
      </c>
      <c r="H453" s="90" t="b">
        <v>0</v>
      </c>
      <c r="I453" s="90" t="b">
        <v>0</v>
      </c>
      <c r="J453" s="90" t="b">
        <v>0</v>
      </c>
      <c r="K453" s="90" t="b">
        <v>0</v>
      </c>
      <c r="L453" s="90" t="b">
        <v>0</v>
      </c>
    </row>
    <row r="454" spans="1:12" ht="15">
      <c r="A454" s="87" t="s">
        <v>1868</v>
      </c>
      <c r="B454" s="90" t="s">
        <v>1869</v>
      </c>
      <c r="C454" s="90">
        <v>2</v>
      </c>
      <c r="D454" s="114">
        <v>0.0018499567912532535</v>
      </c>
      <c r="E454" s="114">
        <v>2.369911285071794</v>
      </c>
      <c r="F454" s="90" t="s">
        <v>1378</v>
      </c>
      <c r="G454" s="90" t="b">
        <v>1</v>
      </c>
      <c r="H454" s="90" t="b">
        <v>0</v>
      </c>
      <c r="I454" s="90" t="b">
        <v>0</v>
      </c>
      <c r="J454" s="90" t="b">
        <v>0</v>
      </c>
      <c r="K454" s="90" t="b">
        <v>0</v>
      </c>
      <c r="L454" s="90" t="b">
        <v>0</v>
      </c>
    </row>
    <row r="455" spans="1:12" ht="15">
      <c r="A455" s="87" t="s">
        <v>1966</v>
      </c>
      <c r="B455" s="90" t="s">
        <v>1853</v>
      </c>
      <c r="C455" s="90">
        <v>2</v>
      </c>
      <c r="D455" s="114">
        <v>0.0018499567912532535</v>
      </c>
      <c r="E455" s="114">
        <v>2.4948500216800937</v>
      </c>
      <c r="F455" s="90" t="s">
        <v>1378</v>
      </c>
      <c r="G455" s="90" t="b">
        <v>0</v>
      </c>
      <c r="H455" s="90" t="b">
        <v>0</v>
      </c>
      <c r="I455" s="90" t="b">
        <v>0</v>
      </c>
      <c r="J455" s="90" t="b">
        <v>0</v>
      </c>
      <c r="K455" s="90" t="b">
        <v>0</v>
      </c>
      <c r="L455" s="90" t="b">
        <v>0</v>
      </c>
    </row>
    <row r="456" spans="1:12" ht="15">
      <c r="A456" s="87" t="s">
        <v>1830</v>
      </c>
      <c r="B456" s="90" t="s">
        <v>1796</v>
      </c>
      <c r="C456" s="90">
        <v>2</v>
      </c>
      <c r="D456" s="114">
        <v>0.0018499567912532535</v>
      </c>
      <c r="E456" s="114">
        <v>1.3045183235098026</v>
      </c>
      <c r="F456" s="90" t="s">
        <v>1378</v>
      </c>
      <c r="G456" s="90" t="b">
        <v>0</v>
      </c>
      <c r="H456" s="90" t="b">
        <v>0</v>
      </c>
      <c r="I456" s="90" t="b">
        <v>0</v>
      </c>
      <c r="J456" s="90" t="b">
        <v>0</v>
      </c>
      <c r="K456" s="90" t="b">
        <v>0</v>
      </c>
      <c r="L456" s="90" t="b">
        <v>0</v>
      </c>
    </row>
    <row r="457" spans="1:12" ht="15">
      <c r="A457" s="87" t="s">
        <v>1859</v>
      </c>
      <c r="B457" s="90" t="s">
        <v>1855</v>
      </c>
      <c r="C457" s="90">
        <v>2</v>
      </c>
      <c r="D457" s="114">
        <v>0.0018499567912532535</v>
      </c>
      <c r="E457" s="114">
        <v>2.1760912590556813</v>
      </c>
      <c r="F457" s="90" t="s">
        <v>1378</v>
      </c>
      <c r="G457" s="90" t="b">
        <v>0</v>
      </c>
      <c r="H457" s="90" t="b">
        <v>0</v>
      </c>
      <c r="I457" s="90" t="b">
        <v>0</v>
      </c>
      <c r="J457" s="90" t="b">
        <v>0</v>
      </c>
      <c r="K457" s="90" t="b">
        <v>0</v>
      </c>
      <c r="L457" s="90" t="b">
        <v>0</v>
      </c>
    </row>
    <row r="458" spans="1:12" ht="15">
      <c r="A458" s="87" t="s">
        <v>1496</v>
      </c>
      <c r="B458" s="90" t="s">
        <v>1870</v>
      </c>
      <c r="C458" s="90">
        <v>2</v>
      </c>
      <c r="D458" s="114">
        <v>0.0018499567912532535</v>
      </c>
      <c r="E458" s="114">
        <v>0.7733141894453338</v>
      </c>
      <c r="F458" s="90" t="s">
        <v>1378</v>
      </c>
      <c r="G458" s="90" t="b">
        <v>0</v>
      </c>
      <c r="H458" s="90" t="b">
        <v>0</v>
      </c>
      <c r="I458" s="90" t="b">
        <v>0</v>
      </c>
      <c r="J458" s="90" t="b">
        <v>0</v>
      </c>
      <c r="K458" s="90" t="b">
        <v>0</v>
      </c>
      <c r="L458" s="90" t="b">
        <v>0</v>
      </c>
    </row>
    <row r="459" spans="1:12" ht="15">
      <c r="A459" s="87" t="s">
        <v>539</v>
      </c>
      <c r="B459" s="90" t="s">
        <v>1501</v>
      </c>
      <c r="C459" s="90">
        <v>2</v>
      </c>
      <c r="D459" s="114">
        <v>0.0018499567912532535</v>
      </c>
      <c r="E459" s="114">
        <v>0.36991128507179405</v>
      </c>
      <c r="F459" s="90" t="s">
        <v>1378</v>
      </c>
      <c r="G459" s="90" t="b">
        <v>0</v>
      </c>
      <c r="H459" s="90" t="b">
        <v>0</v>
      </c>
      <c r="I459" s="90" t="b">
        <v>0</v>
      </c>
      <c r="J459" s="90" t="b">
        <v>0</v>
      </c>
      <c r="K459" s="90" t="b">
        <v>0</v>
      </c>
      <c r="L459" s="90" t="b">
        <v>0</v>
      </c>
    </row>
    <row r="460" spans="1:12" ht="15">
      <c r="A460" s="87" t="s">
        <v>1953</v>
      </c>
      <c r="B460" s="90" t="s">
        <v>1860</v>
      </c>
      <c r="C460" s="90">
        <v>2</v>
      </c>
      <c r="D460" s="114">
        <v>0.0018499567912532535</v>
      </c>
      <c r="E460" s="114">
        <v>2.574031267727719</v>
      </c>
      <c r="F460" s="90" t="s">
        <v>1378</v>
      </c>
      <c r="G460" s="90" t="b">
        <v>0</v>
      </c>
      <c r="H460" s="90" t="b">
        <v>0</v>
      </c>
      <c r="I460" s="90" t="b">
        <v>0</v>
      </c>
      <c r="J460" s="90" t="b">
        <v>0</v>
      </c>
      <c r="K460" s="90" t="b">
        <v>0</v>
      </c>
      <c r="L460" s="90" t="b">
        <v>0</v>
      </c>
    </row>
    <row r="461" spans="1:12" ht="15">
      <c r="A461" s="87" t="s">
        <v>1496</v>
      </c>
      <c r="B461" s="90" t="s">
        <v>1802</v>
      </c>
      <c r="C461" s="90">
        <v>2</v>
      </c>
      <c r="D461" s="114">
        <v>0.0018499567912532535</v>
      </c>
      <c r="E461" s="114">
        <v>0.1992829217176149</v>
      </c>
      <c r="F461" s="90" t="s">
        <v>1378</v>
      </c>
      <c r="G461" s="90" t="b">
        <v>0</v>
      </c>
      <c r="H461" s="90" t="b">
        <v>0</v>
      </c>
      <c r="I461" s="90" t="b">
        <v>0</v>
      </c>
      <c r="J461" s="90" t="b">
        <v>0</v>
      </c>
      <c r="K461" s="90" t="b">
        <v>0</v>
      </c>
      <c r="L461" s="90" t="b">
        <v>0</v>
      </c>
    </row>
    <row r="462" spans="1:12" ht="15">
      <c r="A462" s="87" t="s">
        <v>1500</v>
      </c>
      <c r="B462" s="90" t="s">
        <v>1499</v>
      </c>
      <c r="C462" s="90">
        <v>2</v>
      </c>
      <c r="D462" s="114">
        <v>0.0018499567912532535</v>
      </c>
      <c r="E462" s="114">
        <v>0.32214981317519126</v>
      </c>
      <c r="F462" s="90" t="s">
        <v>1378</v>
      </c>
      <c r="G462" s="90" t="b">
        <v>0</v>
      </c>
      <c r="H462" s="90" t="b">
        <v>0</v>
      </c>
      <c r="I462" s="90" t="b">
        <v>0</v>
      </c>
      <c r="J462" s="90" t="b">
        <v>0</v>
      </c>
      <c r="K462" s="90" t="b">
        <v>0</v>
      </c>
      <c r="L462" s="90" t="b">
        <v>0</v>
      </c>
    </row>
    <row r="463" spans="1:12" ht="15">
      <c r="A463" s="87" t="s">
        <v>1499</v>
      </c>
      <c r="B463" s="90" t="s">
        <v>1800</v>
      </c>
      <c r="C463" s="90">
        <v>2</v>
      </c>
      <c r="D463" s="114">
        <v>0.0018499567912532535</v>
      </c>
      <c r="E463" s="114">
        <v>0.494850021680094</v>
      </c>
      <c r="F463" s="90" t="s">
        <v>1378</v>
      </c>
      <c r="G463" s="90" t="b">
        <v>0</v>
      </c>
      <c r="H463" s="90" t="b">
        <v>0</v>
      </c>
      <c r="I463" s="90" t="b">
        <v>0</v>
      </c>
      <c r="J463" s="90" t="b">
        <v>0</v>
      </c>
      <c r="K463" s="90" t="b">
        <v>0</v>
      </c>
      <c r="L463" s="90" t="b">
        <v>0</v>
      </c>
    </row>
    <row r="464" spans="1:12" ht="15">
      <c r="A464" s="87" t="s">
        <v>1498</v>
      </c>
      <c r="B464" s="90" t="s">
        <v>1799</v>
      </c>
      <c r="C464" s="90">
        <v>2</v>
      </c>
      <c r="D464" s="114">
        <v>0.0018499567912532535</v>
      </c>
      <c r="E464" s="114">
        <v>0.46886183972838724</v>
      </c>
      <c r="F464" s="90" t="s">
        <v>1378</v>
      </c>
      <c r="G464" s="90" t="b">
        <v>0</v>
      </c>
      <c r="H464" s="90" t="b">
        <v>1</v>
      </c>
      <c r="I464" s="90" t="b">
        <v>0</v>
      </c>
      <c r="J464" s="90" t="b">
        <v>0</v>
      </c>
      <c r="K464" s="90" t="b">
        <v>0</v>
      </c>
      <c r="L464" s="90" t="b">
        <v>0</v>
      </c>
    </row>
    <row r="465" spans="1:12" ht="15">
      <c r="A465" s="87" t="s">
        <v>1803</v>
      </c>
      <c r="B465" s="90" t="s">
        <v>1800</v>
      </c>
      <c r="C465" s="90">
        <v>2</v>
      </c>
      <c r="D465" s="114">
        <v>0.0018499567912532535</v>
      </c>
      <c r="E465" s="114">
        <v>0.833668578233475</v>
      </c>
      <c r="F465" s="90" t="s">
        <v>1378</v>
      </c>
      <c r="G465" s="90" t="b">
        <v>0</v>
      </c>
      <c r="H465" s="90" t="b">
        <v>0</v>
      </c>
      <c r="I465" s="90" t="b">
        <v>0</v>
      </c>
      <c r="J465" s="90" t="b">
        <v>0</v>
      </c>
      <c r="K465" s="90" t="b">
        <v>0</v>
      </c>
      <c r="L465" s="90" t="b">
        <v>0</v>
      </c>
    </row>
    <row r="466" spans="1:12" ht="15">
      <c r="A466" s="87" t="s">
        <v>1943</v>
      </c>
      <c r="B466" s="90" t="s">
        <v>1944</v>
      </c>
      <c r="C466" s="90">
        <v>2</v>
      </c>
      <c r="D466" s="114">
        <v>0.0018499567912532535</v>
      </c>
      <c r="E466" s="114">
        <v>2.9719712763997563</v>
      </c>
      <c r="F466" s="90" t="s">
        <v>1378</v>
      </c>
      <c r="G466" s="90" t="b">
        <v>0</v>
      </c>
      <c r="H466" s="90" t="b">
        <v>0</v>
      </c>
      <c r="I466" s="90" t="b">
        <v>0</v>
      </c>
      <c r="J466" s="90" t="b">
        <v>1</v>
      </c>
      <c r="K466" s="90" t="b">
        <v>0</v>
      </c>
      <c r="L466" s="90" t="b">
        <v>0</v>
      </c>
    </row>
    <row r="467" spans="1:12" ht="15">
      <c r="A467" s="87" t="s">
        <v>1816</v>
      </c>
      <c r="B467" s="90" t="s">
        <v>1495</v>
      </c>
      <c r="C467" s="90">
        <v>2</v>
      </c>
      <c r="D467" s="114">
        <v>0.0018499567912532535</v>
      </c>
      <c r="E467" s="114">
        <v>0.3312414582490423</v>
      </c>
      <c r="F467" s="90" t="s">
        <v>1378</v>
      </c>
      <c r="G467" s="90" t="b">
        <v>0</v>
      </c>
      <c r="H467" s="90" t="b">
        <v>0</v>
      </c>
      <c r="I467" s="90" t="b">
        <v>0</v>
      </c>
      <c r="J467" s="90" t="b">
        <v>0</v>
      </c>
      <c r="K467" s="90" t="b">
        <v>0</v>
      </c>
      <c r="L467" s="90" t="b">
        <v>0</v>
      </c>
    </row>
    <row r="468" spans="1:12" ht="15">
      <c r="A468" s="87" t="s">
        <v>2000</v>
      </c>
      <c r="B468" s="90" t="s">
        <v>539</v>
      </c>
      <c r="C468" s="90">
        <v>2</v>
      </c>
      <c r="D468" s="114">
        <v>0.0018499567912532535</v>
      </c>
      <c r="E468" s="114">
        <v>1.6709412807357753</v>
      </c>
      <c r="F468" s="90" t="s">
        <v>1378</v>
      </c>
      <c r="G468" s="90" t="b">
        <v>0</v>
      </c>
      <c r="H468" s="90" t="b">
        <v>0</v>
      </c>
      <c r="I468" s="90" t="b">
        <v>0</v>
      </c>
      <c r="J468" s="90" t="b">
        <v>0</v>
      </c>
      <c r="K468" s="90" t="b">
        <v>0</v>
      </c>
      <c r="L468" s="90" t="b">
        <v>0</v>
      </c>
    </row>
    <row r="469" spans="1:12" ht="15">
      <c r="A469" s="87" t="s">
        <v>539</v>
      </c>
      <c r="B469" s="90" t="s">
        <v>1793</v>
      </c>
      <c r="C469" s="90">
        <v>2</v>
      </c>
      <c r="D469" s="114">
        <v>0.0018499567912532535</v>
      </c>
      <c r="E469" s="114">
        <v>0.453457336521869</v>
      </c>
      <c r="F469" s="90" t="s">
        <v>1378</v>
      </c>
      <c r="G469" s="90" t="b">
        <v>0</v>
      </c>
      <c r="H469" s="90" t="b">
        <v>0</v>
      </c>
      <c r="I469" s="90" t="b">
        <v>0</v>
      </c>
      <c r="J469" s="90" t="b">
        <v>0</v>
      </c>
      <c r="K469" s="90" t="b">
        <v>0</v>
      </c>
      <c r="L469" s="90" t="b">
        <v>0</v>
      </c>
    </row>
    <row r="470" spans="1:12" ht="15">
      <c r="A470" s="87" t="s">
        <v>1499</v>
      </c>
      <c r="B470" s="90" t="s">
        <v>1795</v>
      </c>
      <c r="C470" s="90">
        <v>2</v>
      </c>
      <c r="D470" s="114">
        <v>0.0018499567912532535</v>
      </c>
      <c r="E470" s="114">
        <v>0.4014283365178589</v>
      </c>
      <c r="F470" s="90" t="s">
        <v>1378</v>
      </c>
      <c r="G470" s="90" t="b">
        <v>0</v>
      </c>
      <c r="H470" s="90" t="b">
        <v>0</v>
      </c>
      <c r="I470" s="90" t="b">
        <v>0</v>
      </c>
      <c r="J470" s="90" t="b">
        <v>0</v>
      </c>
      <c r="K470" s="90" t="b">
        <v>0</v>
      </c>
      <c r="L470" s="90" t="b">
        <v>0</v>
      </c>
    </row>
    <row r="471" spans="1:12" ht="15">
      <c r="A471" s="87" t="s">
        <v>2003</v>
      </c>
      <c r="B471" s="90" t="s">
        <v>1810</v>
      </c>
      <c r="C471" s="90">
        <v>2</v>
      </c>
      <c r="D471" s="114">
        <v>0.0018499567912532535</v>
      </c>
      <c r="E471" s="114">
        <v>2.193820026016113</v>
      </c>
      <c r="F471" s="90" t="s">
        <v>1378</v>
      </c>
      <c r="G471" s="90" t="b">
        <v>0</v>
      </c>
      <c r="H471" s="90" t="b">
        <v>1</v>
      </c>
      <c r="I471" s="90" t="b">
        <v>0</v>
      </c>
      <c r="J471" s="90" t="b">
        <v>0</v>
      </c>
      <c r="K471" s="90" t="b">
        <v>0</v>
      </c>
      <c r="L471" s="90" t="b">
        <v>0</v>
      </c>
    </row>
    <row r="472" spans="1:12" ht="15">
      <c r="A472" s="87" t="s">
        <v>1497</v>
      </c>
      <c r="B472" s="90" t="s">
        <v>1800</v>
      </c>
      <c r="C472" s="90">
        <v>2</v>
      </c>
      <c r="D472" s="114">
        <v>0.0018499567912532535</v>
      </c>
      <c r="E472" s="114">
        <v>0.43572856956143746</v>
      </c>
      <c r="F472" s="90" t="s">
        <v>1378</v>
      </c>
      <c r="G472" s="90" t="b">
        <v>0</v>
      </c>
      <c r="H472" s="90" t="b">
        <v>0</v>
      </c>
      <c r="I472" s="90" t="b">
        <v>0</v>
      </c>
      <c r="J472" s="90" t="b">
        <v>0</v>
      </c>
      <c r="K472" s="90" t="b">
        <v>0</v>
      </c>
      <c r="L472" s="90" t="b">
        <v>0</v>
      </c>
    </row>
    <row r="473" spans="1:12" ht="15">
      <c r="A473" s="87" t="s">
        <v>1794</v>
      </c>
      <c r="B473" s="90" t="s">
        <v>1793</v>
      </c>
      <c r="C473" s="90">
        <v>2</v>
      </c>
      <c r="D473" s="114">
        <v>0.0018499567912532535</v>
      </c>
      <c r="E473" s="114">
        <v>0.5503673495299254</v>
      </c>
      <c r="F473" s="90" t="s">
        <v>1378</v>
      </c>
      <c r="G473" s="90" t="b">
        <v>0</v>
      </c>
      <c r="H473" s="90" t="b">
        <v>0</v>
      </c>
      <c r="I473" s="90" t="b">
        <v>0</v>
      </c>
      <c r="J473" s="90" t="b">
        <v>0</v>
      </c>
      <c r="K473" s="90" t="b">
        <v>0</v>
      </c>
      <c r="L473" s="90" t="b">
        <v>0</v>
      </c>
    </row>
    <row r="474" spans="1:12" ht="15">
      <c r="A474" s="87" t="s">
        <v>1793</v>
      </c>
      <c r="B474" s="90" t="s">
        <v>539</v>
      </c>
      <c r="C474" s="90">
        <v>2</v>
      </c>
      <c r="D474" s="114">
        <v>0.0018499567912532535</v>
      </c>
      <c r="E474" s="114">
        <v>0.4404923593575013</v>
      </c>
      <c r="F474" s="90" t="s">
        <v>1378</v>
      </c>
      <c r="G474" s="90" t="b">
        <v>0</v>
      </c>
      <c r="H474" s="90" t="b">
        <v>0</v>
      </c>
      <c r="I474" s="90" t="b">
        <v>0</v>
      </c>
      <c r="J474" s="90" t="b">
        <v>0</v>
      </c>
      <c r="K474" s="90" t="b">
        <v>0</v>
      </c>
      <c r="L474" s="90" t="b">
        <v>0</v>
      </c>
    </row>
    <row r="475" spans="1:12" ht="15">
      <c r="A475" s="87" t="s">
        <v>1907</v>
      </c>
      <c r="B475" s="90" t="s">
        <v>1909</v>
      </c>
      <c r="C475" s="90">
        <v>2</v>
      </c>
      <c r="D475" s="114">
        <v>0.0018499567912532535</v>
      </c>
      <c r="E475" s="114">
        <v>2.795880017344075</v>
      </c>
      <c r="F475" s="90" t="s">
        <v>1378</v>
      </c>
      <c r="G475" s="90" t="b">
        <v>0</v>
      </c>
      <c r="H475" s="90" t="b">
        <v>0</v>
      </c>
      <c r="I475" s="90" t="b">
        <v>0</v>
      </c>
      <c r="J475" s="90" t="b">
        <v>0</v>
      </c>
      <c r="K475" s="90" t="b">
        <v>0</v>
      </c>
      <c r="L475" s="90" t="b">
        <v>0</v>
      </c>
    </row>
    <row r="476" spans="1:12" ht="15">
      <c r="A476" s="87" t="s">
        <v>1810</v>
      </c>
      <c r="B476" s="90" t="s">
        <v>1804</v>
      </c>
      <c r="C476" s="90">
        <v>2</v>
      </c>
      <c r="D476" s="114">
        <v>0.0018499567912532535</v>
      </c>
      <c r="E476" s="114">
        <v>1.2104192878355746</v>
      </c>
      <c r="F476" s="90" t="s">
        <v>1378</v>
      </c>
      <c r="G476" s="90" t="b">
        <v>0</v>
      </c>
      <c r="H476" s="90" t="b">
        <v>0</v>
      </c>
      <c r="I476" s="90" t="b">
        <v>0</v>
      </c>
      <c r="J476" s="90" t="b">
        <v>0</v>
      </c>
      <c r="K476" s="90" t="b">
        <v>0</v>
      </c>
      <c r="L476" s="90" t="b">
        <v>0</v>
      </c>
    </row>
    <row r="477" spans="1:12" ht="15">
      <c r="A477" s="87" t="s">
        <v>1973</v>
      </c>
      <c r="B477" s="90" t="s">
        <v>1974</v>
      </c>
      <c r="C477" s="90">
        <v>2</v>
      </c>
      <c r="D477" s="114">
        <v>0.0018499567912532535</v>
      </c>
      <c r="E477" s="114">
        <v>2.9719712763997563</v>
      </c>
      <c r="F477" s="90" t="s">
        <v>1378</v>
      </c>
      <c r="G477" s="90" t="b">
        <v>0</v>
      </c>
      <c r="H477" s="90" t="b">
        <v>1</v>
      </c>
      <c r="I477" s="90" t="b">
        <v>0</v>
      </c>
      <c r="J477" s="90" t="b">
        <v>0</v>
      </c>
      <c r="K477" s="90" t="b">
        <v>0</v>
      </c>
      <c r="L477" s="90" t="b">
        <v>0</v>
      </c>
    </row>
    <row r="478" spans="1:12" ht="15">
      <c r="A478" s="87" t="s">
        <v>1974</v>
      </c>
      <c r="B478" s="90" t="s">
        <v>1879</v>
      </c>
      <c r="C478" s="90">
        <v>2</v>
      </c>
      <c r="D478" s="114">
        <v>0.0018499567912532535</v>
      </c>
      <c r="E478" s="114">
        <v>2.670941280735775</v>
      </c>
      <c r="F478" s="90" t="s">
        <v>1378</v>
      </c>
      <c r="G478" s="90" t="b">
        <v>0</v>
      </c>
      <c r="H478" s="90" t="b">
        <v>0</v>
      </c>
      <c r="I478" s="90" t="b">
        <v>0</v>
      </c>
      <c r="J478" s="90" t="b">
        <v>0</v>
      </c>
      <c r="K478" s="90" t="b">
        <v>0</v>
      </c>
      <c r="L478" s="90" t="b">
        <v>0</v>
      </c>
    </row>
    <row r="479" spans="1:12" ht="15">
      <c r="A479" s="87" t="s">
        <v>1879</v>
      </c>
      <c r="B479" s="90" t="s">
        <v>1808</v>
      </c>
      <c r="C479" s="90">
        <v>2</v>
      </c>
      <c r="D479" s="114">
        <v>0.0018499567912532535</v>
      </c>
      <c r="E479" s="114">
        <v>1.9719712763997566</v>
      </c>
      <c r="F479" s="90" t="s">
        <v>1378</v>
      </c>
      <c r="G479" s="90" t="b">
        <v>0</v>
      </c>
      <c r="H479" s="90" t="b">
        <v>0</v>
      </c>
      <c r="I479" s="90" t="b">
        <v>0</v>
      </c>
      <c r="J479" s="90" t="b">
        <v>0</v>
      </c>
      <c r="K479" s="90" t="b">
        <v>0</v>
      </c>
      <c r="L479" s="90" t="b">
        <v>0</v>
      </c>
    </row>
    <row r="480" spans="1:12" ht="15">
      <c r="A480" s="87" t="s">
        <v>1872</v>
      </c>
      <c r="B480" s="90" t="s">
        <v>1498</v>
      </c>
      <c r="C480" s="90">
        <v>2</v>
      </c>
      <c r="D480" s="114">
        <v>0.0018499567912532535</v>
      </c>
      <c r="E480" s="114">
        <v>1.2817751963712427</v>
      </c>
      <c r="F480" s="90" t="s">
        <v>1378</v>
      </c>
      <c r="G480" s="90" t="b">
        <v>0</v>
      </c>
      <c r="H480" s="90" t="b">
        <v>0</v>
      </c>
      <c r="I480" s="90" t="b">
        <v>0</v>
      </c>
      <c r="J480" s="90" t="b">
        <v>0</v>
      </c>
      <c r="K480" s="90" t="b">
        <v>1</v>
      </c>
      <c r="L480" s="90" t="b">
        <v>0</v>
      </c>
    </row>
    <row r="481" spans="1:12" ht="15">
      <c r="A481" s="87" t="s">
        <v>1820</v>
      </c>
      <c r="B481" s="90" t="s">
        <v>1799</v>
      </c>
      <c r="C481" s="90">
        <v>2</v>
      </c>
      <c r="D481" s="114">
        <v>0.0018499567912532535</v>
      </c>
      <c r="E481" s="114">
        <v>1.2559679327649573</v>
      </c>
      <c r="F481" s="90" t="s">
        <v>1378</v>
      </c>
      <c r="G481" s="90" t="b">
        <v>0</v>
      </c>
      <c r="H481" s="90" t="b">
        <v>0</v>
      </c>
      <c r="I481" s="90" t="b">
        <v>0</v>
      </c>
      <c r="J481" s="90" t="b">
        <v>0</v>
      </c>
      <c r="K481" s="90" t="b">
        <v>0</v>
      </c>
      <c r="L481" s="90" t="b">
        <v>0</v>
      </c>
    </row>
    <row r="482" spans="1:12" ht="15">
      <c r="A482" s="87" t="s">
        <v>1799</v>
      </c>
      <c r="B482" s="90" t="s">
        <v>1501</v>
      </c>
      <c r="C482" s="90">
        <v>2</v>
      </c>
      <c r="D482" s="114">
        <v>0.0018499567912532535</v>
      </c>
      <c r="E482" s="114">
        <v>0.5740312677277188</v>
      </c>
      <c r="F482" s="90" t="s">
        <v>1378</v>
      </c>
      <c r="G482" s="90" t="b">
        <v>0</v>
      </c>
      <c r="H482" s="90" t="b">
        <v>0</v>
      </c>
      <c r="I482" s="90" t="b">
        <v>0</v>
      </c>
      <c r="J482" s="90" t="b">
        <v>0</v>
      </c>
      <c r="K482" s="90" t="b">
        <v>0</v>
      </c>
      <c r="L482" s="90" t="b">
        <v>0</v>
      </c>
    </row>
    <row r="483" spans="1:12" ht="15">
      <c r="A483" s="87" t="s">
        <v>1503</v>
      </c>
      <c r="B483" s="90" t="s">
        <v>1799</v>
      </c>
      <c r="C483" s="90">
        <v>2</v>
      </c>
      <c r="D483" s="114">
        <v>0.0018499567912532535</v>
      </c>
      <c r="E483" s="114">
        <v>0.6149898754066253</v>
      </c>
      <c r="F483" s="90" t="s">
        <v>1378</v>
      </c>
      <c r="G483" s="90" t="b">
        <v>0</v>
      </c>
      <c r="H483" s="90" t="b">
        <v>0</v>
      </c>
      <c r="I483" s="90" t="b">
        <v>0</v>
      </c>
      <c r="J483" s="90" t="b">
        <v>0</v>
      </c>
      <c r="K483" s="90" t="b">
        <v>0</v>
      </c>
      <c r="L483" s="90" t="b">
        <v>0</v>
      </c>
    </row>
    <row r="484" spans="1:12" ht="15">
      <c r="A484" s="87" t="s">
        <v>1503</v>
      </c>
      <c r="B484" s="90" t="s">
        <v>1499</v>
      </c>
      <c r="C484" s="90">
        <v>2</v>
      </c>
      <c r="D484" s="114">
        <v>0.0018499567912532535</v>
      </c>
      <c r="E484" s="114">
        <v>0.35786536544172576</v>
      </c>
      <c r="F484" s="90" t="s">
        <v>1378</v>
      </c>
      <c r="G484" s="90" t="b">
        <v>0</v>
      </c>
      <c r="H484" s="90" t="b">
        <v>0</v>
      </c>
      <c r="I484" s="90" t="b">
        <v>0</v>
      </c>
      <c r="J484" s="90" t="b">
        <v>0</v>
      </c>
      <c r="K484" s="90" t="b">
        <v>0</v>
      </c>
      <c r="L484" s="90" t="b">
        <v>0</v>
      </c>
    </row>
    <row r="485" spans="1:12" ht="15">
      <c r="A485" s="87" t="s">
        <v>1992</v>
      </c>
      <c r="B485" s="90" t="s">
        <v>1501</v>
      </c>
      <c r="C485" s="90">
        <v>2</v>
      </c>
      <c r="D485" s="114">
        <v>0.0018499567912532535</v>
      </c>
      <c r="E485" s="114">
        <v>1.6709412807357753</v>
      </c>
      <c r="F485" s="90" t="s">
        <v>1378</v>
      </c>
      <c r="G485" s="90" t="b">
        <v>0</v>
      </c>
      <c r="H485" s="90" t="b">
        <v>0</v>
      </c>
      <c r="I485" s="90" t="b">
        <v>0</v>
      </c>
      <c r="J485" s="90" t="b">
        <v>0</v>
      </c>
      <c r="K485" s="90" t="b">
        <v>0</v>
      </c>
      <c r="L485" s="90" t="b">
        <v>0</v>
      </c>
    </row>
    <row r="486" spans="1:12" ht="15">
      <c r="A486" s="87" t="s">
        <v>1503</v>
      </c>
      <c r="B486" s="90" t="s">
        <v>1820</v>
      </c>
      <c r="C486" s="90">
        <v>2</v>
      </c>
      <c r="D486" s="114">
        <v>0.0018499567912532535</v>
      </c>
      <c r="E486" s="114">
        <v>1.1848651833631865</v>
      </c>
      <c r="F486" s="90" t="s">
        <v>1378</v>
      </c>
      <c r="G486" s="90" t="b">
        <v>0</v>
      </c>
      <c r="H486" s="90" t="b">
        <v>0</v>
      </c>
      <c r="I486" s="90" t="b">
        <v>0</v>
      </c>
      <c r="J486" s="90" t="b">
        <v>0</v>
      </c>
      <c r="K486" s="90" t="b">
        <v>0</v>
      </c>
      <c r="L486" s="90" t="b">
        <v>0</v>
      </c>
    </row>
    <row r="487" spans="1:12" ht="15">
      <c r="A487" s="87" t="s">
        <v>1794</v>
      </c>
      <c r="B487" s="90" t="s">
        <v>1818</v>
      </c>
      <c r="C487" s="90">
        <v>2</v>
      </c>
      <c r="D487" s="114">
        <v>0.0018499567912532535</v>
      </c>
      <c r="E487" s="114">
        <v>1.2907300390241692</v>
      </c>
      <c r="F487" s="90" t="s">
        <v>1378</v>
      </c>
      <c r="G487" s="90" t="b">
        <v>0</v>
      </c>
      <c r="H487" s="90" t="b">
        <v>0</v>
      </c>
      <c r="I487" s="90" t="b">
        <v>0</v>
      </c>
      <c r="J487" s="90" t="b">
        <v>0</v>
      </c>
      <c r="K487" s="90" t="b">
        <v>0</v>
      </c>
      <c r="L487" s="90" t="b">
        <v>0</v>
      </c>
    </row>
    <row r="488" spans="1:12" ht="15">
      <c r="A488" s="87" t="s">
        <v>1498</v>
      </c>
      <c r="B488" s="90" t="s">
        <v>1499</v>
      </c>
      <c r="C488" s="90">
        <v>2</v>
      </c>
      <c r="D488" s="114">
        <v>0.0018499567912532535</v>
      </c>
      <c r="E488" s="114">
        <v>0.2117373297634877</v>
      </c>
      <c r="F488" s="90" t="s">
        <v>1378</v>
      </c>
      <c r="G488" s="90" t="b">
        <v>0</v>
      </c>
      <c r="H488" s="90" t="b">
        <v>1</v>
      </c>
      <c r="I488" s="90" t="b">
        <v>0</v>
      </c>
      <c r="J488" s="90" t="b">
        <v>0</v>
      </c>
      <c r="K488" s="90" t="b">
        <v>0</v>
      </c>
      <c r="L488" s="90" t="b">
        <v>0</v>
      </c>
    </row>
    <row r="489" spans="1:12" ht="15">
      <c r="A489" s="87" t="s">
        <v>1950</v>
      </c>
      <c r="B489" s="90" t="s">
        <v>1898</v>
      </c>
      <c r="C489" s="90">
        <v>2</v>
      </c>
      <c r="D489" s="114">
        <v>0.0018499567912532535</v>
      </c>
      <c r="E489" s="114">
        <v>2.9719712763997563</v>
      </c>
      <c r="F489" s="90" t="s">
        <v>1378</v>
      </c>
      <c r="G489" s="90" t="b">
        <v>0</v>
      </c>
      <c r="H489" s="90" t="b">
        <v>0</v>
      </c>
      <c r="I489" s="90" t="b">
        <v>0</v>
      </c>
      <c r="J489" s="90" t="b">
        <v>0</v>
      </c>
      <c r="K489" s="90" t="b">
        <v>0</v>
      </c>
      <c r="L489" s="90" t="b">
        <v>0</v>
      </c>
    </row>
    <row r="490" spans="1:12" ht="15">
      <c r="A490" s="87" t="s">
        <v>539</v>
      </c>
      <c r="B490" s="90" t="s">
        <v>1820</v>
      </c>
      <c r="C490" s="90">
        <v>2</v>
      </c>
      <c r="D490" s="114">
        <v>0.0018499567912532535</v>
      </c>
      <c r="E490" s="114">
        <v>1.1268732363854996</v>
      </c>
      <c r="F490" s="90" t="s">
        <v>1378</v>
      </c>
      <c r="G490" s="90" t="b">
        <v>0</v>
      </c>
      <c r="H490" s="90" t="b">
        <v>0</v>
      </c>
      <c r="I490" s="90" t="b">
        <v>0</v>
      </c>
      <c r="J490" s="90" t="b">
        <v>0</v>
      </c>
      <c r="K490" s="90" t="b">
        <v>0</v>
      </c>
      <c r="L490" s="90" t="b">
        <v>0</v>
      </c>
    </row>
    <row r="491" spans="1:12" ht="15">
      <c r="A491" s="87" t="s">
        <v>1800</v>
      </c>
      <c r="B491" s="90" t="s">
        <v>1802</v>
      </c>
      <c r="C491" s="90">
        <v>2</v>
      </c>
      <c r="D491" s="114">
        <v>0.0018499567912532535</v>
      </c>
      <c r="E491" s="114">
        <v>1</v>
      </c>
      <c r="F491" s="90" t="s">
        <v>1378</v>
      </c>
      <c r="G491" s="90" t="b">
        <v>0</v>
      </c>
      <c r="H491" s="90" t="b">
        <v>0</v>
      </c>
      <c r="I491" s="90" t="b">
        <v>0</v>
      </c>
      <c r="J491" s="90" t="b">
        <v>0</v>
      </c>
      <c r="K491" s="90" t="b">
        <v>0</v>
      </c>
      <c r="L491" s="90" t="b">
        <v>0</v>
      </c>
    </row>
    <row r="492" spans="1:12" ht="15">
      <c r="A492" s="87" t="s">
        <v>1794</v>
      </c>
      <c r="B492" s="90" t="s">
        <v>1498</v>
      </c>
      <c r="C492" s="90">
        <v>2</v>
      </c>
      <c r="D492" s="114">
        <v>0.0018499567912532535</v>
      </c>
      <c r="E492" s="114">
        <v>0.37868520937929917</v>
      </c>
      <c r="F492" s="90" t="s">
        <v>1378</v>
      </c>
      <c r="G492" s="90" t="b">
        <v>0</v>
      </c>
      <c r="H492" s="90" t="b">
        <v>0</v>
      </c>
      <c r="I492" s="90" t="b">
        <v>0</v>
      </c>
      <c r="J492" s="90" t="b">
        <v>0</v>
      </c>
      <c r="K492" s="90" t="b">
        <v>1</v>
      </c>
      <c r="L492" s="90" t="b">
        <v>0</v>
      </c>
    </row>
    <row r="493" spans="1:12" ht="15">
      <c r="A493" s="87" t="s">
        <v>1498</v>
      </c>
      <c r="B493" s="90" t="s">
        <v>1500</v>
      </c>
      <c r="C493" s="90">
        <v>2</v>
      </c>
      <c r="D493" s="114">
        <v>0.0018499567912532535</v>
      </c>
      <c r="E493" s="114">
        <v>0.25036673211961863</v>
      </c>
      <c r="F493" s="90" t="s">
        <v>1378</v>
      </c>
      <c r="G493" s="90" t="b">
        <v>0</v>
      </c>
      <c r="H493" s="90" t="b">
        <v>1</v>
      </c>
      <c r="I493" s="90" t="b">
        <v>0</v>
      </c>
      <c r="J493" s="90" t="b">
        <v>0</v>
      </c>
      <c r="K493" s="90" t="b">
        <v>0</v>
      </c>
      <c r="L493" s="90" t="b">
        <v>0</v>
      </c>
    </row>
    <row r="494" spans="1:12" ht="15">
      <c r="A494" s="87" t="s">
        <v>1796</v>
      </c>
      <c r="B494" s="90" t="s">
        <v>1795</v>
      </c>
      <c r="C494" s="90">
        <v>2</v>
      </c>
      <c r="D494" s="114">
        <v>0.0018499567912532535</v>
      </c>
      <c r="E494" s="114">
        <v>0.5913078800591736</v>
      </c>
      <c r="F494" s="90" t="s">
        <v>1378</v>
      </c>
      <c r="G494" s="90" t="b">
        <v>0</v>
      </c>
      <c r="H494" s="90" t="b">
        <v>0</v>
      </c>
      <c r="I494" s="90" t="b">
        <v>0</v>
      </c>
      <c r="J494" s="90" t="b">
        <v>0</v>
      </c>
      <c r="K494" s="90" t="b">
        <v>0</v>
      </c>
      <c r="L494" s="90" t="b">
        <v>0</v>
      </c>
    </row>
    <row r="495" spans="1:12" ht="15">
      <c r="A495" s="87" t="s">
        <v>1503</v>
      </c>
      <c r="B495" s="90" t="s">
        <v>1800</v>
      </c>
      <c r="C495" s="90">
        <v>2</v>
      </c>
      <c r="D495" s="114">
        <v>0.0018499567912532535</v>
      </c>
      <c r="E495" s="114">
        <v>0.6320232147054056</v>
      </c>
      <c r="F495" s="90" t="s">
        <v>1378</v>
      </c>
      <c r="G495" s="90" t="b">
        <v>0</v>
      </c>
      <c r="H495" s="90" t="b">
        <v>0</v>
      </c>
      <c r="I495" s="90" t="b">
        <v>0</v>
      </c>
      <c r="J495" s="90" t="b">
        <v>0</v>
      </c>
      <c r="K495" s="90" t="b">
        <v>0</v>
      </c>
      <c r="L495" s="90" t="b">
        <v>0</v>
      </c>
    </row>
    <row r="496" spans="1:12" ht="15">
      <c r="A496" s="87" t="s">
        <v>1496</v>
      </c>
      <c r="B496" s="90" t="s">
        <v>1498</v>
      </c>
      <c r="C496" s="90">
        <v>2</v>
      </c>
      <c r="D496" s="114">
        <v>0.0018499567912532535</v>
      </c>
      <c r="E496" s="114">
        <v>-0.3148218992552175</v>
      </c>
      <c r="F496" s="90" t="s">
        <v>1378</v>
      </c>
      <c r="G496" s="90" t="b">
        <v>0</v>
      </c>
      <c r="H496" s="90" t="b">
        <v>0</v>
      </c>
      <c r="I496" s="90" t="b">
        <v>0</v>
      </c>
      <c r="J496" s="90" t="b">
        <v>0</v>
      </c>
      <c r="K496" s="90" t="b">
        <v>1</v>
      </c>
      <c r="L496" s="90" t="b">
        <v>0</v>
      </c>
    </row>
    <row r="497" spans="1:12" ht="15">
      <c r="A497" s="87" t="s">
        <v>1794</v>
      </c>
      <c r="B497" s="90" t="s">
        <v>1801</v>
      </c>
      <c r="C497" s="90">
        <v>2</v>
      </c>
      <c r="D497" s="114">
        <v>0.0018499567912532535</v>
      </c>
      <c r="E497" s="114">
        <v>0.6886700476962068</v>
      </c>
      <c r="F497" s="90" t="s">
        <v>1378</v>
      </c>
      <c r="G497" s="90" t="b">
        <v>0</v>
      </c>
      <c r="H497" s="90" t="b">
        <v>0</v>
      </c>
      <c r="I497" s="90" t="b">
        <v>0</v>
      </c>
      <c r="J497" s="90" t="b">
        <v>0</v>
      </c>
      <c r="K497" s="90" t="b">
        <v>0</v>
      </c>
      <c r="L497" s="90" t="b">
        <v>0</v>
      </c>
    </row>
    <row r="498" spans="1:12" ht="15">
      <c r="A498" s="87" t="s">
        <v>1496</v>
      </c>
      <c r="B498" s="90" t="s">
        <v>1891</v>
      </c>
      <c r="C498" s="90">
        <v>2</v>
      </c>
      <c r="D498" s="114">
        <v>0.0018499567912532535</v>
      </c>
      <c r="E498" s="114">
        <v>1.074344185109315</v>
      </c>
      <c r="F498" s="90" t="s">
        <v>1378</v>
      </c>
      <c r="G498" s="90" t="b">
        <v>0</v>
      </c>
      <c r="H498" s="90" t="b">
        <v>0</v>
      </c>
      <c r="I498" s="90" t="b">
        <v>0</v>
      </c>
      <c r="J498" s="90" t="b">
        <v>0</v>
      </c>
      <c r="K498" s="90" t="b">
        <v>0</v>
      </c>
      <c r="L498" s="90" t="b">
        <v>0</v>
      </c>
    </row>
    <row r="499" spans="1:12" ht="15">
      <c r="A499" s="87" t="s">
        <v>1497</v>
      </c>
      <c r="B499" s="90" t="s">
        <v>1802</v>
      </c>
      <c r="C499" s="90">
        <v>2</v>
      </c>
      <c r="D499" s="114">
        <v>0.0018499567912532535</v>
      </c>
      <c r="E499" s="114">
        <v>0.6575773191777938</v>
      </c>
      <c r="F499" s="90" t="s">
        <v>1378</v>
      </c>
      <c r="G499" s="90" t="b">
        <v>0</v>
      </c>
      <c r="H499" s="90" t="b">
        <v>0</v>
      </c>
      <c r="I499" s="90" t="b">
        <v>0</v>
      </c>
      <c r="J499" s="90" t="b">
        <v>0</v>
      </c>
      <c r="K499" s="90" t="b">
        <v>0</v>
      </c>
      <c r="L499" s="90" t="b">
        <v>0</v>
      </c>
    </row>
    <row r="500" spans="1:12" ht="15">
      <c r="A500" s="87" t="s">
        <v>1806</v>
      </c>
      <c r="B500" s="90" t="s">
        <v>1501</v>
      </c>
      <c r="C500" s="90">
        <v>2</v>
      </c>
      <c r="D500" s="114">
        <v>0.0018499567912532535</v>
      </c>
      <c r="E500" s="114">
        <v>0.7678512937438317</v>
      </c>
      <c r="F500" s="90" t="s">
        <v>1378</v>
      </c>
      <c r="G500" s="90" t="b">
        <v>0</v>
      </c>
      <c r="H500" s="90" t="b">
        <v>0</v>
      </c>
      <c r="I500" s="90" t="b">
        <v>0</v>
      </c>
      <c r="J500" s="90" t="b">
        <v>0</v>
      </c>
      <c r="K500" s="90" t="b">
        <v>0</v>
      </c>
      <c r="L500" s="90" t="b">
        <v>0</v>
      </c>
    </row>
    <row r="501" spans="1:12" ht="15">
      <c r="A501" s="87" t="s">
        <v>1979</v>
      </c>
      <c r="B501" s="90" t="s">
        <v>1811</v>
      </c>
      <c r="C501" s="90">
        <v>2</v>
      </c>
      <c r="D501" s="114">
        <v>0.0018499567912532535</v>
      </c>
      <c r="E501" s="114">
        <v>2.2730012720637376</v>
      </c>
      <c r="F501" s="90" t="s">
        <v>1378</v>
      </c>
      <c r="G501" s="90" t="b">
        <v>0</v>
      </c>
      <c r="H501" s="90" t="b">
        <v>0</v>
      </c>
      <c r="I501" s="90" t="b">
        <v>0</v>
      </c>
      <c r="J501" s="90" t="b">
        <v>0</v>
      </c>
      <c r="K501" s="90" t="b">
        <v>0</v>
      </c>
      <c r="L501" s="90" t="b">
        <v>0</v>
      </c>
    </row>
    <row r="502" spans="1:12" ht="15">
      <c r="A502" s="87" t="s">
        <v>1811</v>
      </c>
      <c r="B502" s="90" t="s">
        <v>1498</v>
      </c>
      <c r="C502" s="90">
        <v>2</v>
      </c>
      <c r="D502" s="114">
        <v>0.0018499567912532535</v>
      </c>
      <c r="E502" s="114">
        <v>0.9807452007072616</v>
      </c>
      <c r="F502" s="90" t="s">
        <v>1378</v>
      </c>
      <c r="G502" s="90" t="b">
        <v>0</v>
      </c>
      <c r="H502" s="90" t="b">
        <v>0</v>
      </c>
      <c r="I502" s="90" t="b">
        <v>0</v>
      </c>
      <c r="J502" s="90" t="b">
        <v>0</v>
      </c>
      <c r="K502" s="90" t="b">
        <v>1</v>
      </c>
      <c r="L502" s="90" t="b">
        <v>0</v>
      </c>
    </row>
    <row r="503" spans="1:12" ht="15">
      <c r="A503" s="87" t="s">
        <v>1796</v>
      </c>
      <c r="B503" s="90" t="s">
        <v>539</v>
      </c>
      <c r="C503" s="90">
        <v>2</v>
      </c>
      <c r="D503" s="114">
        <v>0.0018499567912532535</v>
      </c>
      <c r="E503" s="114">
        <v>0.4806095825654838</v>
      </c>
      <c r="F503" s="90" t="s">
        <v>1378</v>
      </c>
      <c r="G503" s="90" t="b">
        <v>0</v>
      </c>
      <c r="H503" s="90" t="b">
        <v>0</v>
      </c>
      <c r="I503" s="90" t="b">
        <v>0</v>
      </c>
      <c r="J503" s="90" t="b">
        <v>0</v>
      </c>
      <c r="K503" s="90" t="b">
        <v>0</v>
      </c>
      <c r="L503" s="90" t="b">
        <v>0</v>
      </c>
    </row>
    <row r="504" spans="1:12" ht="15">
      <c r="A504" s="87" t="s">
        <v>539</v>
      </c>
      <c r="B504" s="90" t="s">
        <v>1878</v>
      </c>
      <c r="C504" s="90">
        <v>2</v>
      </c>
      <c r="D504" s="114">
        <v>0.0018499567912532535</v>
      </c>
      <c r="E504" s="114">
        <v>1.369911285071794</v>
      </c>
      <c r="F504" s="90" t="s">
        <v>1378</v>
      </c>
      <c r="G504" s="90" t="b">
        <v>0</v>
      </c>
      <c r="H504" s="90" t="b">
        <v>0</v>
      </c>
      <c r="I504" s="90" t="b">
        <v>0</v>
      </c>
      <c r="J504" s="90" t="b">
        <v>0</v>
      </c>
      <c r="K504" s="90" t="b">
        <v>0</v>
      </c>
      <c r="L504" s="90" t="b">
        <v>0</v>
      </c>
    </row>
    <row r="505" spans="1:12" ht="15">
      <c r="A505" s="87" t="s">
        <v>1813</v>
      </c>
      <c r="B505" s="90" t="s">
        <v>1964</v>
      </c>
      <c r="C505" s="90">
        <v>2</v>
      </c>
      <c r="D505" s="114">
        <v>0.0018499567912532535</v>
      </c>
      <c r="E505" s="114">
        <v>2.193820026016113</v>
      </c>
      <c r="F505" s="90" t="s">
        <v>1378</v>
      </c>
      <c r="G505" s="90" t="b">
        <v>0</v>
      </c>
      <c r="H505" s="90" t="b">
        <v>0</v>
      </c>
      <c r="I505" s="90" t="b">
        <v>0</v>
      </c>
      <c r="J505" s="90" t="b">
        <v>0</v>
      </c>
      <c r="K505" s="90" t="b">
        <v>0</v>
      </c>
      <c r="L505" s="90" t="b">
        <v>0</v>
      </c>
    </row>
    <row r="506" spans="1:12" ht="15">
      <c r="A506" s="87" t="s">
        <v>1496</v>
      </c>
      <c r="B506" s="90" t="s">
        <v>1819</v>
      </c>
      <c r="C506" s="90">
        <v>2</v>
      </c>
      <c r="D506" s="114">
        <v>0.0018499567912532535</v>
      </c>
      <c r="E506" s="114">
        <v>0.8982529260536338</v>
      </c>
      <c r="F506" s="90" t="s">
        <v>1378</v>
      </c>
      <c r="G506" s="90" t="b">
        <v>0</v>
      </c>
      <c r="H506" s="90" t="b">
        <v>0</v>
      </c>
      <c r="I506" s="90" t="b">
        <v>0</v>
      </c>
      <c r="J506" s="90" t="b">
        <v>0</v>
      </c>
      <c r="K506" s="90" t="b">
        <v>0</v>
      </c>
      <c r="L506" s="90" t="b">
        <v>0</v>
      </c>
    </row>
    <row r="507" spans="1:12" ht="15">
      <c r="A507" s="87" t="s">
        <v>1800</v>
      </c>
      <c r="B507" s="90" t="s">
        <v>1499</v>
      </c>
      <c r="C507" s="90">
        <v>2</v>
      </c>
      <c r="D507" s="114">
        <v>0.0018499567912532535</v>
      </c>
      <c r="E507" s="114">
        <v>0.5039934011199638</v>
      </c>
      <c r="F507" s="90" t="s">
        <v>1378</v>
      </c>
      <c r="G507" s="90" t="b">
        <v>0</v>
      </c>
      <c r="H507" s="90" t="b">
        <v>0</v>
      </c>
      <c r="I507" s="90" t="b">
        <v>0</v>
      </c>
      <c r="J507" s="90" t="b">
        <v>0</v>
      </c>
      <c r="K507" s="90" t="b">
        <v>0</v>
      </c>
      <c r="L507" s="90" t="b">
        <v>0</v>
      </c>
    </row>
    <row r="508" spans="1:12" ht="15">
      <c r="A508" s="87" t="s">
        <v>539</v>
      </c>
      <c r="B508" s="90" t="s">
        <v>1794</v>
      </c>
      <c r="C508" s="90">
        <v>2</v>
      </c>
      <c r="D508" s="114">
        <v>0.0018499567912532535</v>
      </c>
      <c r="E508" s="114">
        <v>0.453457336521869</v>
      </c>
      <c r="F508" s="90" t="s">
        <v>1378</v>
      </c>
      <c r="G508" s="90" t="b">
        <v>0</v>
      </c>
      <c r="H508" s="90" t="b">
        <v>0</v>
      </c>
      <c r="I508" s="90" t="b">
        <v>0</v>
      </c>
      <c r="J508" s="90" t="b">
        <v>0</v>
      </c>
      <c r="K508" s="90" t="b">
        <v>0</v>
      </c>
      <c r="L508" s="90" t="b">
        <v>0</v>
      </c>
    </row>
    <row r="509" spans="1:12" ht="15">
      <c r="A509" s="87" t="s">
        <v>1877</v>
      </c>
      <c r="B509" s="90" t="s">
        <v>1498</v>
      </c>
      <c r="C509" s="90">
        <v>2</v>
      </c>
      <c r="D509" s="114">
        <v>0.0018499567912532535</v>
      </c>
      <c r="E509" s="114">
        <v>1.2817751963712427</v>
      </c>
      <c r="F509" s="90" t="s">
        <v>1378</v>
      </c>
      <c r="G509" s="90" t="b">
        <v>0</v>
      </c>
      <c r="H509" s="90" t="b">
        <v>0</v>
      </c>
      <c r="I509" s="90" t="b">
        <v>0</v>
      </c>
      <c r="J509" s="90" t="b">
        <v>0</v>
      </c>
      <c r="K509" s="90" t="b">
        <v>1</v>
      </c>
      <c r="L509" s="90" t="b">
        <v>0</v>
      </c>
    </row>
    <row r="510" spans="1:12" ht="15">
      <c r="A510" s="87" t="s">
        <v>539</v>
      </c>
      <c r="B510" s="90" t="s">
        <v>1798</v>
      </c>
      <c r="C510" s="90">
        <v>2</v>
      </c>
      <c r="D510" s="114">
        <v>0.0018499567912532535</v>
      </c>
      <c r="E510" s="114">
        <v>0.5248132450575373</v>
      </c>
      <c r="F510" s="90" t="s">
        <v>1378</v>
      </c>
      <c r="G510" s="90" t="b">
        <v>0</v>
      </c>
      <c r="H510" s="90" t="b">
        <v>0</v>
      </c>
      <c r="I510" s="90" t="b">
        <v>0</v>
      </c>
      <c r="J510" s="90" t="b">
        <v>0</v>
      </c>
      <c r="K510" s="90" t="b">
        <v>0</v>
      </c>
      <c r="L510" s="90" t="b">
        <v>0</v>
      </c>
    </row>
    <row r="511" spans="1:12" ht="15">
      <c r="A511" s="87" t="s">
        <v>1806</v>
      </c>
      <c r="B511" s="90" t="s">
        <v>1794</v>
      </c>
      <c r="C511" s="90">
        <v>2</v>
      </c>
      <c r="D511" s="114">
        <v>0.0018499567912532535</v>
      </c>
      <c r="E511" s="114">
        <v>0.8513973451939065</v>
      </c>
      <c r="F511" s="90" t="s">
        <v>1378</v>
      </c>
      <c r="G511" s="90" t="b">
        <v>0</v>
      </c>
      <c r="H511" s="90" t="b">
        <v>0</v>
      </c>
      <c r="I511" s="90" t="b">
        <v>0</v>
      </c>
      <c r="J511" s="90" t="b">
        <v>0</v>
      </c>
      <c r="K511" s="90" t="b">
        <v>0</v>
      </c>
      <c r="L511" s="90" t="b">
        <v>0</v>
      </c>
    </row>
    <row r="512" spans="1:12" ht="15">
      <c r="A512" s="87" t="s">
        <v>1496</v>
      </c>
      <c r="B512" s="90" t="s">
        <v>1793</v>
      </c>
      <c r="C512" s="90">
        <v>2</v>
      </c>
      <c r="D512" s="114">
        <v>0.0018499567912532535</v>
      </c>
      <c r="E512" s="114">
        <v>-0.14313975910459129</v>
      </c>
      <c r="F512" s="90" t="s">
        <v>1378</v>
      </c>
      <c r="G512" s="90" t="b">
        <v>0</v>
      </c>
      <c r="H512" s="90" t="b">
        <v>0</v>
      </c>
      <c r="I512" s="90" t="b">
        <v>0</v>
      </c>
      <c r="J512" s="90" t="b">
        <v>0</v>
      </c>
      <c r="K512" s="90" t="b">
        <v>0</v>
      </c>
      <c r="L512" s="90" t="b">
        <v>0</v>
      </c>
    </row>
    <row r="513" spans="1:12" ht="15">
      <c r="A513" s="87" t="s">
        <v>1795</v>
      </c>
      <c r="B513" s="90" t="s">
        <v>1500</v>
      </c>
      <c r="C513" s="90">
        <v>2</v>
      </c>
      <c r="D513" s="114">
        <v>0.0018499567912532535</v>
      </c>
      <c r="E513" s="114">
        <v>0.4354128338282264</v>
      </c>
      <c r="F513" s="90" t="s">
        <v>1378</v>
      </c>
      <c r="G513" s="90" t="b">
        <v>0</v>
      </c>
      <c r="H513" s="90" t="b">
        <v>0</v>
      </c>
      <c r="I513" s="90" t="b">
        <v>0</v>
      </c>
      <c r="J513" s="90" t="b">
        <v>0</v>
      </c>
      <c r="K513" s="90" t="b">
        <v>0</v>
      </c>
      <c r="L513" s="90" t="b">
        <v>0</v>
      </c>
    </row>
    <row r="514" spans="1:12" ht="15">
      <c r="A514" s="87" t="s">
        <v>1796</v>
      </c>
      <c r="B514" s="90" t="s">
        <v>1499</v>
      </c>
      <c r="C514" s="90">
        <v>2</v>
      </c>
      <c r="D514" s="114">
        <v>0.0018499567912532535</v>
      </c>
      <c r="E514" s="114">
        <v>0.4105717159577287</v>
      </c>
      <c r="F514" s="90" t="s">
        <v>1378</v>
      </c>
      <c r="G514" s="90" t="b">
        <v>0</v>
      </c>
      <c r="H514" s="90" t="b">
        <v>0</v>
      </c>
      <c r="I514" s="90" t="b">
        <v>0</v>
      </c>
      <c r="J514" s="90" t="b">
        <v>0</v>
      </c>
      <c r="K514" s="90" t="b">
        <v>0</v>
      </c>
      <c r="L514" s="90" t="b">
        <v>0</v>
      </c>
    </row>
    <row r="515" spans="1:12" ht="15">
      <c r="A515" s="87" t="s">
        <v>1805</v>
      </c>
      <c r="B515" s="90" t="s">
        <v>539</v>
      </c>
      <c r="C515" s="90">
        <v>2</v>
      </c>
      <c r="D515" s="114">
        <v>0.0018499567912532535</v>
      </c>
      <c r="E515" s="114">
        <v>0.7415223550214826</v>
      </c>
      <c r="F515" s="90" t="s">
        <v>1378</v>
      </c>
      <c r="G515" s="90" t="b">
        <v>0</v>
      </c>
      <c r="H515" s="90" t="b">
        <v>0</v>
      </c>
      <c r="I515" s="90" t="b">
        <v>0</v>
      </c>
      <c r="J515" s="90" t="b">
        <v>0</v>
      </c>
      <c r="K515" s="90" t="b">
        <v>0</v>
      </c>
      <c r="L515" s="90" t="b">
        <v>0</v>
      </c>
    </row>
    <row r="516" spans="1:12" ht="15">
      <c r="A516" s="87" t="s">
        <v>1496</v>
      </c>
      <c r="B516" s="90" t="s">
        <v>1804</v>
      </c>
      <c r="C516" s="90">
        <v>2</v>
      </c>
      <c r="D516" s="114">
        <v>0.0018499567912532535</v>
      </c>
      <c r="E516" s="114">
        <v>0.05315488603937699</v>
      </c>
      <c r="F516" s="90" t="s">
        <v>1378</v>
      </c>
      <c r="G516" s="90" t="b">
        <v>0</v>
      </c>
      <c r="H516" s="90" t="b">
        <v>0</v>
      </c>
      <c r="I516" s="90" t="b">
        <v>0</v>
      </c>
      <c r="J516" s="90" t="b">
        <v>0</v>
      </c>
      <c r="K516" s="90" t="b">
        <v>0</v>
      </c>
      <c r="L516" s="90" t="b">
        <v>0</v>
      </c>
    </row>
    <row r="517" spans="1:12" ht="15">
      <c r="A517" s="87" t="s">
        <v>1805</v>
      </c>
      <c r="B517" s="90" t="s">
        <v>1793</v>
      </c>
      <c r="C517" s="90">
        <v>2</v>
      </c>
      <c r="D517" s="114">
        <v>0.0018499567912532535</v>
      </c>
      <c r="E517" s="114">
        <v>0.8250684064715574</v>
      </c>
      <c r="F517" s="90" t="s">
        <v>1378</v>
      </c>
      <c r="G517" s="90" t="b">
        <v>0</v>
      </c>
      <c r="H517" s="90" t="b">
        <v>0</v>
      </c>
      <c r="I517" s="90" t="b">
        <v>0</v>
      </c>
      <c r="J517" s="90" t="b">
        <v>0</v>
      </c>
      <c r="K517" s="90" t="b">
        <v>0</v>
      </c>
      <c r="L517" s="90" t="b">
        <v>0</v>
      </c>
    </row>
    <row r="518" spans="1:12" ht="15">
      <c r="A518" s="87" t="s">
        <v>1503</v>
      </c>
      <c r="B518" s="90" t="s">
        <v>1797</v>
      </c>
      <c r="C518" s="90">
        <v>2</v>
      </c>
      <c r="D518" s="114">
        <v>0.0018499567912532535</v>
      </c>
      <c r="E518" s="114">
        <v>0.5528419686577808</v>
      </c>
      <c r="F518" s="90" t="s">
        <v>1378</v>
      </c>
      <c r="G518" s="90" t="b">
        <v>0</v>
      </c>
      <c r="H518" s="90" t="b">
        <v>0</v>
      </c>
      <c r="I518" s="90" t="b">
        <v>0</v>
      </c>
      <c r="J518" s="90" t="b">
        <v>0</v>
      </c>
      <c r="K518" s="90" t="b">
        <v>0</v>
      </c>
      <c r="L518" s="90" t="b">
        <v>0</v>
      </c>
    </row>
    <row r="519" spans="1:12" ht="15">
      <c r="A519" s="87" t="s">
        <v>1888</v>
      </c>
      <c r="B519" s="90" t="s">
        <v>1896</v>
      </c>
      <c r="C519" s="90">
        <v>2</v>
      </c>
      <c r="D519" s="114">
        <v>0.0018499567912532535</v>
      </c>
      <c r="E519" s="114">
        <v>2.619788758288394</v>
      </c>
      <c r="F519" s="90" t="s">
        <v>1378</v>
      </c>
      <c r="G519" s="90" t="b">
        <v>0</v>
      </c>
      <c r="H519" s="90" t="b">
        <v>0</v>
      </c>
      <c r="I519" s="90" t="b">
        <v>0</v>
      </c>
      <c r="J519" s="90" t="b">
        <v>0</v>
      </c>
      <c r="K519" s="90" t="b">
        <v>0</v>
      </c>
      <c r="L519" s="90" t="b">
        <v>0</v>
      </c>
    </row>
    <row r="520" spans="1:12" ht="15">
      <c r="A520" s="87" t="s">
        <v>1800</v>
      </c>
      <c r="B520" s="90" t="s">
        <v>1500</v>
      </c>
      <c r="C520" s="90">
        <v>2</v>
      </c>
      <c r="D520" s="114">
        <v>0.0018499567912532535</v>
      </c>
      <c r="E520" s="114">
        <v>0.5426228034760947</v>
      </c>
      <c r="F520" s="90" t="s">
        <v>1378</v>
      </c>
      <c r="G520" s="90" t="b">
        <v>0</v>
      </c>
      <c r="H520" s="90" t="b">
        <v>0</v>
      </c>
      <c r="I520" s="90" t="b">
        <v>0</v>
      </c>
      <c r="J520" s="90" t="b">
        <v>0</v>
      </c>
      <c r="K520" s="90" t="b">
        <v>0</v>
      </c>
      <c r="L520" s="90" t="b">
        <v>0</v>
      </c>
    </row>
    <row r="521" spans="1:12" ht="15">
      <c r="A521" s="87" t="s">
        <v>1533</v>
      </c>
      <c r="B521" s="90" t="s">
        <v>1858</v>
      </c>
      <c r="C521" s="90">
        <v>2</v>
      </c>
      <c r="D521" s="114">
        <v>0.0018499567912532535</v>
      </c>
      <c r="E521" s="114">
        <v>1.833668578233475</v>
      </c>
      <c r="F521" s="90" t="s">
        <v>1378</v>
      </c>
      <c r="G521" s="90" t="b">
        <v>0</v>
      </c>
      <c r="H521" s="90" t="b">
        <v>0</v>
      </c>
      <c r="I521" s="90" t="b">
        <v>0</v>
      </c>
      <c r="J521" s="90" t="b">
        <v>0</v>
      </c>
      <c r="K521" s="90" t="b">
        <v>0</v>
      </c>
      <c r="L521" s="90" t="b">
        <v>0</v>
      </c>
    </row>
    <row r="522" spans="1:12" ht="15">
      <c r="A522" s="87" t="s">
        <v>1816</v>
      </c>
      <c r="B522" s="90" t="s">
        <v>1951</v>
      </c>
      <c r="C522" s="90">
        <v>2</v>
      </c>
      <c r="D522" s="114">
        <v>0.0018499567912532535</v>
      </c>
      <c r="E522" s="114">
        <v>2.2316085869055127</v>
      </c>
      <c r="F522" s="90" t="s">
        <v>1378</v>
      </c>
      <c r="G522" s="90" t="b">
        <v>0</v>
      </c>
      <c r="H522" s="90" t="b">
        <v>0</v>
      </c>
      <c r="I522" s="90" t="b">
        <v>0</v>
      </c>
      <c r="J522" s="90" t="b">
        <v>0</v>
      </c>
      <c r="K522" s="90" t="b">
        <v>0</v>
      </c>
      <c r="L522" s="90" t="b">
        <v>0</v>
      </c>
    </row>
    <row r="523" spans="1:12" ht="15">
      <c r="A523" s="87" t="s">
        <v>1951</v>
      </c>
      <c r="B523" s="90" t="s">
        <v>1824</v>
      </c>
      <c r="C523" s="90">
        <v>2</v>
      </c>
      <c r="D523" s="114">
        <v>0.0018499567912532535</v>
      </c>
      <c r="E523" s="114">
        <v>2.369911285071794</v>
      </c>
      <c r="F523" s="90" t="s">
        <v>1378</v>
      </c>
      <c r="G523" s="90" t="b">
        <v>0</v>
      </c>
      <c r="H523" s="90" t="b">
        <v>0</v>
      </c>
      <c r="I523" s="90" t="b">
        <v>0</v>
      </c>
      <c r="J523" s="90" t="b">
        <v>0</v>
      </c>
      <c r="K523" s="90" t="b">
        <v>0</v>
      </c>
      <c r="L523" s="90" t="b">
        <v>0</v>
      </c>
    </row>
    <row r="524" spans="1:12" ht="15">
      <c r="A524" s="87" t="s">
        <v>1802</v>
      </c>
      <c r="B524" s="90" t="s">
        <v>1793</v>
      </c>
      <c r="C524" s="90">
        <v>2</v>
      </c>
      <c r="D524" s="114">
        <v>0.0018499567912532535</v>
      </c>
      <c r="E524" s="114">
        <v>0.6937894918322385</v>
      </c>
      <c r="F524" s="90" t="s">
        <v>1378</v>
      </c>
      <c r="G524" s="90" t="b">
        <v>0</v>
      </c>
      <c r="H524" s="90" t="b">
        <v>0</v>
      </c>
      <c r="I524" s="90" t="b">
        <v>0</v>
      </c>
      <c r="J524" s="90" t="b">
        <v>0</v>
      </c>
      <c r="K524" s="90" t="b">
        <v>0</v>
      </c>
      <c r="L524" s="90" t="b">
        <v>0</v>
      </c>
    </row>
    <row r="525" spans="1:12" ht="15">
      <c r="A525" s="87" t="s">
        <v>1499</v>
      </c>
      <c r="B525" s="90" t="s">
        <v>1804</v>
      </c>
      <c r="C525" s="90">
        <v>2</v>
      </c>
      <c r="D525" s="114">
        <v>0.0018499567912532535</v>
      </c>
      <c r="E525" s="114">
        <v>0.5705707356182124</v>
      </c>
      <c r="F525" s="90" t="s">
        <v>1378</v>
      </c>
      <c r="G525" s="90" t="b">
        <v>0</v>
      </c>
      <c r="H525" s="90" t="b">
        <v>0</v>
      </c>
      <c r="I525" s="90" t="b">
        <v>0</v>
      </c>
      <c r="J525" s="90" t="b">
        <v>0</v>
      </c>
      <c r="K525" s="90" t="b">
        <v>0</v>
      </c>
      <c r="L525" s="90" t="b">
        <v>0</v>
      </c>
    </row>
    <row r="526" spans="1:12" ht="15">
      <c r="A526" s="87" t="s">
        <v>1497</v>
      </c>
      <c r="B526" s="90" t="s">
        <v>1501</v>
      </c>
      <c r="C526" s="90">
        <v>2</v>
      </c>
      <c r="D526" s="114">
        <v>0.0018499567912532535</v>
      </c>
      <c r="E526" s="114">
        <v>0.23160858690551267</v>
      </c>
      <c r="F526" s="90" t="s">
        <v>1378</v>
      </c>
      <c r="G526" s="90" t="b">
        <v>0</v>
      </c>
      <c r="H526" s="90" t="b">
        <v>0</v>
      </c>
      <c r="I526" s="90" t="b">
        <v>0</v>
      </c>
      <c r="J526" s="90" t="b">
        <v>0</v>
      </c>
      <c r="K526" s="90" t="b">
        <v>0</v>
      </c>
      <c r="L526" s="90" t="b">
        <v>0</v>
      </c>
    </row>
    <row r="527" spans="1:12" ht="15">
      <c r="A527" s="87" t="s">
        <v>1809</v>
      </c>
      <c r="B527" s="90" t="s">
        <v>1498</v>
      </c>
      <c r="C527" s="90">
        <v>2</v>
      </c>
      <c r="D527" s="114">
        <v>0.0018499567912532535</v>
      </c>
      <c r="E527" s="114">
        <v>0.7377071520209671</v>
      </c>
      <c r="F527" s="90" t="s">
        <v>1378</v>
      </c>
      <c r="G527" s="90" t="b">
        <v>0</v>
      </c>
      <c r="H527" s="90" t="b">
        <v>0</v>
      </c>
      <c r="I527" s="90" t="b">
        <v>0</v>
      </c>
      <c r="J527" s="90" t="b">
        <v>0</v>
      </c>
      <c r="K527" s="90" t="b">
        <v>1</v>
      </c>
      <c r="L527" s="90" t="b">
        <v>0</v>
      </c>
    </row>
    <row r="528" spans="1:12" ht="15">
      <c r="A528" s="87" t="s">
        <v>1496</v>
      </c>
      <c r="B528" s="90" t="s">
        <v>1935</v>
      </c>
      <c r="C528" s="90">
        <v>2</v>
      </c>
      <c r="D528" s="114">
        <v>0.0018499567912532535</v>
      </c>
      <c r="E528" s="114">
        <v>1.074344185109315</v>
      </c>
      <c r="F528" s="90" t="s">
        <v>1378</v>
      </c>
      <c r="G528" s="90" t="b">
        <v>0</v>
      </c>
      <c r="H528" s="90" t="b">
        <v>0</v>
      </c>
      <c r="I528" s="90" t="b">
        <v>0</v>
      </c>
      <c r="J528" s="90" t="b">
        <v>0</v>
      </c>
      <c r="K528" s="90" t="b">
        <v>0</v>
      </c>
      <c r="L528" s="90" t="b">
        <v>0</v>
      </c>
    </row>
    <row r="529" spans="1:12" ht="15">
      <c r="A529" s="87" t="s">
        <v>1935</v>
      </c>
      <c r="B529" s="90" t="s">
        <v>1892</v>
      </c>
      <c r="C529" s="90">
        <v>2</v>
      </c>
      <c r="D529" s="114">
        <v>0.0018499567912532535</v>
      </c>
      <c r="E529" s="114">
        <v>2.795880017344075</v>
      </c>
      <c r="F529" s="90" t="s">
        <v>1378</v>
      </c>
      <c r="G529" s="90" t="b">
        <v>0</v>
      </c>
      <c r="H529" s="90" t="b">
        <v>0</v>
      </c>
      <c r="I529" s="90" t="b">
        <v>0</v>
      </c>
      <c r="J529" s="90" t="b">
        <v>0</v>
      </c>
      <c r="K529" s="90" t="b">
        <v>0</v>
      </c>
      <c r="L529" s="90" t="b">
        <v>0</v>
      </c>
    </row>
    <row r="530" spans="1:12" ht="15">
      <c r="A530" s="87" t="s">
        <v>1858</v>
      </c>
      <c r="B530" s="90" t="s">
        <v>1852</v>
      </c>
      <c r="C530" s="90">
        <v>2</v>
      </c>
      <c r="D530" s="114">
        <v>0.0018499567912532535</v>
      </c>
      <c r="E530" s="114">
        <v>2.2730012720637376</v>
      </c>
      <c r="F530" s="90" t="s">
        <v>1378</v>
      </c>
      <c r="G530" s="90" t="b">
        <v>0</v>
      </c>
      <c r="H530" s="90" t="b">
        <v>0</v>
      </c>
      <c r="I530" s="90" t="b">
        <v>0</v>
      </c>
      <c r="J530" s="90" t="b">
        <v>0</v>
      </c>
      <c r="K530" s="90" t="b">
        <v>0</v>
      </c>
      <c r="L530" s="90" t="b">
        <v>0</v>
      </c>
    </row>
    <row r="531" spans="1:12" ht="15">
      <c r="A531" s="87" t="s">
        <v>1852</v>
      </c>
      <c r="B531" s="90" t="s">
        <v>1893</v>
      </c>
      <c r="C531" s="90">
        <v>2</v>
      </c>
      <c r="D531" s="114">
        <v>0.0018499567912532535</v>
      </c>
      <c r="E531" s="114">
        <v>2.3979400086720375</v>
      </c>
      <c r="F531" s="90" t="s">
        <v>1378</v>
      </c>
      <c r="G531" s="90" t="b">
        <v>0</v>
      </c>
      <c r="H531" s="90" t="b">
        <v>0</v>
      </c>
      <c r="I531" s="90" t="b">
        <v>0</v>
      </c>
      <c r="J531" s="90" t="b">
        <v>0</v>
      </c>
      <c r="K531" s="90" t="b">
        <v>1</v>
      </c>
      <c r="L531" s="90" t="b">
        <v>0</v>
      </c>
    </row>
    <row r="532" spans="1:12" ht="15">
      <c r="A532" s="87" t="s">
        <v>1893</v>
      </c>
      <c r="B532" s="90" t="s">
        <v>1810</v>
      </c>
      <c r="C532" s="90">
        <v>2</v>
      </c>
      <c r="D532" s="114">
        <v>0.0018499567912532535</v>
      </c>
      <c r="E532" s="114">
        <v>2.0177287669604316</v>
      </c>
      <c r="F532" s="90" t="s">
        <v>1378</v>
      </c>
      <c r="G532" s="90" t="b">
        <v>0</v>
      </c>
      <c r="H532" s="90" t="b">
        <v>1</v>
      </c>
      <c r="I532" s="90" t="b">
        <v>0</v>
      </c>
      <c r="J532" s="90" t="b">
        <v>0</v>
      </c>
      <c r="K532" s="90" t="b">
        <v>0</v>
      </c>
      <c r="L532" s="90" t="b">
        <v>0</v>
      </c>
    </row>
    <row r="533" spans="1:12" ht="15">
      <c r="A533" s="87" t="s">
        <v>1810</v>
      </c>
      <c r="B533" s="90" t="s">
        <v>1936</v>
      </c>
      <c r="C533" s="90">
        <v>2</v>
      </c>
      <c r="D533" s="114">
        <v>0.0018499567912532535</v>
      </c>
      <c r="E533" s="114">
        <v>2.2316085869055127</v>
      </c>
      <c r="F533" s="90" t="s">
        <v>1378</v>
      </c>
      <c r="G533" s="90" t="b">
        <v>0</v>
      </c>
      <c r="H533" s="90" t="b">
        <v>0</v>
      </c>
      <c r="I533" s="90" t="b">
        <v>0</v>
      </c>
      <c r="J533" s="90" t="b">
        <v>0</v>
      </c>
      <c r="K533" s="90" t="b">
        <v>0</v>
      </c>
      <c r="L533" s="90" t="b">
        <v>0</v>
      </c>
    </row>
    <row r="534" spans="1:12" ht="15">
      <c r="A534" s="87" t="s">
        <v>1936</v>
      </c>
      <c r="B534" s="90" t="s">
        <v>1894</v>
      </c>
      <c r="C534" s="90">
        <v>2</v>
      </c>
      <c r="D534" s="114">
        <v>0.0018499567912532535</v>
      </c>
      <c r="E534" s="114">
        <v>2.9719712763997563</v>
      </c>
      <c r="F534" s="90" t="s">
        <v>1378</v>
      </c>
      <c r="G534" s="90" t="b">
        <v>0</v>
      </c>
      <c r="H534" s="90" t="b">
        <v>0</v>
      </c>
      <c r="I534" s="90" t="b">
        <v>0</v>
      </c>
      <c r="J534" s="90" t="b">
        <v>0</v>
      </c>
      <c r="K534" s="90" t="b">
        <v>0</v>
      </c>
      <c r="L534" s="90" t="b">
        <v>0</v>
      </c>
    </row>
    <row r="535" spans="1:12" ht="15">
      <c r="A535" s="87" t="s">
        <v>1894</v>
      </c>
      <c r="B535" s="90" t="s">
        <v>1498</v>
      </c>
      <c r="C535" s="90">
        <v>2</v>
      </c>
      <c r="D535" s="114">
        <v>0.0018499567912532535</v>
      </c>
      <c r="E535" s="114">
        <v>1.4067139329795428</v>
      </c>
      <c r="F535" s="90" t="s">
        <v>1378</v>
      </c>
      <c r="G535" s="90" t="b">
        <v>0</v>
      </c>
      <c r="H535" s="90" t="b">
        <v>0</v>
      </c>
      <c r="I535" s="90" t="b">
        <v>0</v>
      </c>
      <c r="J535" s="90" t="b">
        <v>0</v>
      </c>
      <c r="K535" s="90" t="b">
        <v>1</v>
      </c>
      <c r="L535" s="90" t="b">
        <v>0</v>
      </c>
    </row>
    <row r="536" spans="1:12" ht="15">
      <c r="A536" s="87" t="s">
        <v>1495</v>
      </c>
      <c r="B536" s="90" t="s">
        <v>1496</v>
      </c>
      <c r="C536" s="90">
        <v>4</v>
      </c>
      <c r="D536" s="114">
        <v>0</v>
      </c>
      <c r="E536" s="114">
        <v>0.8450980400142568</v>
      </c>
      <c r="F536" s="90" t="s">
        <v>1379</v>
      </c>
      <c r="G536" s="90" t="b">
        <v>0</v>
      </c>
      <c r="H536" s="90" t="b">
        <v>0</v>
      </c>
      <c r="I536" s="90" t="b">
        <v>0</v>
      </c>
      <c r="J536" s="90" t="b">
        <v>0</v>
      </c>
      <c r="K536" s="90" t="b">
        <v>0</v>
      </c>
      <c r="L536" s="90" t="b">
        <v>0</v>
      </c>
    </row>
    <row r="537" spans="1:12" ht="15">
      <c r="A537" s="87" t="s">
        <v>321</v>
      </c>
      <c r="B537" s="90" t="s">
        <v>320</v>
      </c>
      <c r="C537" s="90">
        <v>2</v>
      </c>
      <c r="D537" s="114">
        <v>0.018814374728998825</v>
      </c>
      <c r="E537" s="114">
        <v>0.8450980400142568</v>
      </c>
      <c r="F537" s="90" t="s">
        <v>1379</v>
      </c>
      <c r="G537" s="90" t="b">
        <v>0</v>
      </c>
      <c r="H537" s="90" t="b">
        <v>0</v>
      </c>
      <c r="I537" s="90" t="b">
        <v>0</v>
      </c>
      <c r="J537" s="90" t="b">
        <v>0</v>
      </c>
      <c r="K537" s="90" t="b">
        <v>0</v>
      </c>
      <c r="L537" s="90" t="b">
        <v>0</v>
      </c>
    </row>
    <row r="538" spans="1:12" ht="15">
      <c r="A538" s="87" t="s">
        <v>1495</v>
      </c>
      <c r="B538" s="90" t="s">
        <v>1496</v>
      </c>
      <c r="C538" s="90">
        <v>5</v>
      </c>
      <c r="D538" s="114">
        <v>0.006710275088781764</v>
      </c>
      <c r="E538" s="114">
        <v>1.0253058652647702</v>
      </c>
      <c r="F538" s="90" t="s">
        <v>1382</v>
      </c>
      <c r="G538" s="90" t="b">
        <v>0</v>
      </c>
      <c r="H538" s="90" t="b">
        <v>0</v>
      </c>
      <c r="I538" s="90" t="b">
        <v>0</v>
      </c>
      <c r="J538" s="90" t="b">
        <v>0</v>
      </c>
      <c r="K538" s="90" t="b">
        <v>0</v>
      </c>
      <c r="L538" s="90" t="b">
        <v>0</v>
      </c>
    </row>
    <row r="539" spans="1:12" ht="15">
      <c r="A539" s="87" t="s">
        <v>1519</v>
      </c>
      <c r="B539" s="90" t="s">
        <v>1495</v>
      </c>
      <c r="C539" s="90">
        <v>4</v>
      </c>
      <c r="D539" s="114">
        <v>0.011938390444452966</v>
      </c>
      <c r="E539" s="114">
        <v>1.0253058652647702</v>
      </c>
      <c r="F539" s="90" t="s">
        <v>1382</v>
      </c>
      <c r="G539" s="90" t="b">
        <v>0</v>
      </c>
      <c r="H539" s="90" t="b">
        <v>0</v>
      </c>
      <c r="I539" s="90" t="b">
        <v>0</v>
      </c>
      <c r="J539" s="90" t="b">
        <v>0</v>
      </c>
      <c r="K539" s="90" t="b">
        <v>0</v>
      </c>
      <c r="L539" s="90" t="b">
        <v>0</v>
      </c>
    </row>
    <row r="540" spans="1:12" ht="15">
      <c r="A540" s="87" t="s">
        <v>1496</v>
      </c>
      <c r="B540" s="90" t="s">
        <v>1520</v>
      </c>
      <c r="C540" s="90">
        <v>4</v>
      </c>
      <c r="D540" s="114">
        <v>0.011938390444452966</v>
      </c>
      <c r="E540" s="114">
        <v>1.0253058652647702</v>
      </c>
      <c r="F540" s="90" t="s">
        <v>1382</v>
      </c>
      <c r="G540" s="90" t="b">
        <v>0</v>
      </c>
      <c r="H540" s="90" t="b">
        <v>0</v>
      </c>
      <c r="I540" s="90" t="b">
        <v>0</v>
      </c>
      <c r="J540" s="90" t="b">
        <v>0</v>
      </c>
      <c r="K540" s="90" t="b">
        <v>0</v>
      </c>
      <c r="L540" s="90" t="b">
        <v>0</v>
      </c>
    </row>
    <row r="541" spans="1:12" ht="15">
      <c r="A541" s="87" t="s">
        <v>1520</v>
      </c>
      <c r="B541" s="90" t="s">
        <v>1521</v>
      </c>
      <c r="C541" s="90">
        <v>4</v>
      </c>
      <c r="D541" s="114">
        <v>0.011938390444452966</v>
      </c>
      <c r="E541" s="114">
        <v>1.1222158782728267</v>
      </c>
      <c r="F541" s="90" t="s">
        <v>1382</v>
      </c>
      <c r="G541" s="90" t="b">
        <v>0</v>
      </c>
      <c r="H541" s="90" t="b">
        <v>0</v>
      </c>
      <c r="I541" s="90" t="b">
        <v>0</v>
      </c>
      <c r="J541" s="90" t="b">
        <v>0</v>
      </c>
      <c r="K541" s="90" t="b">
        <v>0</v>
      </c>
      <c r="L541" s="90" t="b">
        <v>0</v>
      </c>
    </row>
    <row r="542" spans="1:12" ht="15">
      <c r="A542" s="87" t="s">
        <v>1521</v>
      </c>
      <c r="B542" s="90" t="s">
        <v>1522</v>
      </c>
      <c r="C542" s="90">
        <v>4</v>
      </c>
      <c r="D542" s="114">
        <v>0.011938390444452966</v>
      </c>
      <c r="E542" s="114">
        <v>1.1222158782728267</v>
      </c>
      <c r="F542" s="90" t="s">
        <v>1382</v>
      </c>
      <c r="G542" s="90" t="b">
        <v>0</v>
      </c>
      <c r="H542" s="90" t="b">
        <v>0</v>
      </c>
      <c r="I542" s="90" t="b">
        <v>0</v>
      </c>
      <c r="J542" s="90" t="b">
        <v>1</v>
      </c>
      <c r="K542" s="90" t="b">
        <v>0</v>
      </c>
      <c r="L542" s="90" t="b">
        <v>0</v>
      </c>
    </row>
    <row r="543" spans="1:12" ht="15">
      <c r="A543" s="87" t="s">
        <v>1522</v>
      </c>
      <c r="B543" s="90" t="s">
        <v>1475</v>
      </c>
      <c r="C543" s="90">
        <v>4</v>
      </c>
      <c r="D543" s="114">
        <v>0.011938390444452966</v>
      </c>
      <c r="E543" s="114">
        <v>1.1222158782728267</v>
      </c>
      <c r="F543" s="90" t="s">
        <v>1382</v>
      </c>
      <c r="G543" s="90" t="b">
        <v>1</v>
      </c>
      <c r="H543" s="90" t="b">
        <v>0</v>
      </c>
      <c r="I543" s="90" t="b">
        <v>0</v>
      </c>
      <c r="J543" s="90" t="b">
        <v>0</v>
      </c>
      <c r="K543" s="90" t="b">
        <v>0</v>
      </c>
      <c r="L543" s="90" t="b">
        <v>0</v>
      </c>
    </row>
    <row r="544" spans="1:12" ht="15">
      <c r="A544" s="87" t="s">
        <v>1475</v>
      </c>
      <c r="B544" s="90" t="s">
        <v>1523</v>
      </c>
      <c r="C544" s="90">
        <v>4</v>
      </c>
      <c r="D544" s="114">
        <v>0.011938390444452966</v>
      </c>
      <c r="E544" s="114">
        <v>1.0253058652647702</v>
      </c>
      <c r="F544" s="90" t="s">
        <v>1382</v>
      </c>
      <c r="G544" s="90" t="b">
        <v>0</v>
      </c>
      <c r="H544" s="90" t="b">
        <v>0</v>
      </c>
      <c r="I544" s="90" t="b">
        <v>0</v>
      </c>
      <c r="J544" s="90" t="b">
        <v>0</v>
      </c>
      <c r="K544" s="90" t="b">
        <v>0</v>
      </c>
      <c r="L544" s="90" t="b">
        <v>0</v>
      </c>
    </row>
    <row r="545" spans="1:12" ht="15">
      <c r="A545" s="87" t="s">
        <v>1523</v>
      </c>
      <c r="B545" s="90" t="s">
        <v>1524</v>
      </c>
      <c r="C545" s="90">
        <v>4</v>
      </c>
      <c r="D545" s="114">
        <v>0.011938390444452966</v>
      </c>
      <c r="E545" s="114">
        <v>1.1222158782728267</v>
      </c>
      <c r="F545" s="90" t="s">
        <v>1382</v>
      </c>
      <c r="G545" s="90" t="b">
        <v>0</v>
      </c>
      <c r="H545" s="90" t="b">
        <v>0</v>
      </c>
      <c r="I545" s="90" t="b">
        <v>0</v>
      </c>
      <c r="J545" s="90" t="b">
        <v>0</v>
      </c>
      <c r="K545" s="90" t="b">
        <v>0</v>
      </c>
      <c r="L545" s="90" t="b">
        <v>0</v>
      </c>
    </row>
    <row r="546" spans="1:12" ht="15">
      <c r="A546" s="87" t="s">
        <v>1524</v>
      </c>
      <c r="B546" s="90" t="s">
        <v>265</v>
      </c>
      <c r="C546" s="90">
        <v>4</v>
      </c>
      <c r="D546" s="114">
        <v>0.011938390444452966</v>
      </c>
      <c r="E546" s="114">
        <v>1.1222158782728267</v>
      </c>
      <c r="F546" s="90" t="s">
        <v>1382</v>
      </c>
      <c r="G546" s="90" t="b">
        <v>0</v>
      </c>
      <c r="H546" s="90" t="b">
        <v>0</v>
      </c>
      <c r="I546" s="90" t="b">
        <v>0</v>
      </c>
      <c r="J546" s="90" t="b">
        <v>0</v>
      </c>
      <c r="K546" s="90" t="b">
        <v>0</v>
      </c>
      <c r="L546" s="90" t="b">
        <v>0</v>
      </c>
    </row>
    <row r="547" spans="1:12" ht="15">
      <c r="A547" s="87" t="s">
        <v>1495</v>
      </c>
      <c r="B547" s="90" t="s">
        <v>1496</v>
      </c>
      <c r="C547" s="90">
        <v>2</v>
      </c>
      <c r="D547" s="114">
        <v>0.01677059610054107</v>
      </c>
      <c r="E547" s="114">
        <v>0.9777236052888478</v>
      </c>
      <c r="F547" s="90" t="s">
        <v>1383</v>
      </c>
      <c r="G547" s="90" t="b">
        <v>0</v>
      </c>
      <c r="H547" s="90" t="b">
        <v>0</v>
      </c>
      <c r="I547" s="90" t="b">
        <v>0</v>
      </c>
      <c r="J547" s="90" t="b">
        <v>0</v>
      </c>
      <c r="K547" s="90" t="b">
        <v>0</v>
      </c>
      <c r="L547" s="90" t="b">
        <v>0</v>
      </c>
    </row>
    <row r="548" spans="1:12" ht="15">
      <c r="A548" s="87" t="s">
        <v>1495</v>
      </c>
      <c r="B548" s="90" t="s">
        <v>1496</v>
      </c>
      <c r="C548" s="90">
        <v>5</v>
      </c>
      <c r="D548" s="114">
        <v>0</v>
      </c>
      <c r="E548" s="114">
        <v>1.1583624920952496</v>
      </c>
      <c r="F548" s="90" t="s">
        <v>1384</v>
      </c>
      <c r="G548" s="90" t="b">
        <v>0</v>
      </c>
      <c r="H548" s="90" t="b">
        <v>0</v>
      </c>
      <c r="I548" s="90" t="b">
        <v>0</v>
      </c>
      <c r="J548" s="90" t="b">
        <v>0</v>
      </c>
      <c r="K548" s="90" t="b">
        <v>0</v>
      </c>
      <c r="L548" s="90" t="b">
        <v>0</v>
      </c>
    </row>
    <row r="549" spans="1:12" ht="15">
      <c r="A549" s="87" t="s">
        <v>1505</v>
      </c>
      <c r="B549" s="90" t="s">
        <v>1495</v>
      </c>
      <c r="C549" s="90">
        <v>2</v>
      </c>
      <c r="D549" s="114">
        <v>0.010336104121351627</v>
      </c>
      <c r="E549" s="114">
        <v>1.1583624920952498</v>
      </c>
      <c r="F549" s="90" t="s">
        <v>1384</v>
      </c>
      <c r="G549" s="90" t="b">
        <v>0</v>
      </c>
      <c r="H549" s="90" t="b">
        <v>0</v>
      </c>
      <c r="I549" s="90" t="b">
        <v>0</v>
      </c>
      <c r="J549" s="90" t="b">
        <v>0</v>
      </c>
      <c r="K549" s="90" t="b">
        <v>0</v>
      </c>
      <c r="L549" s="90" t="b">
        <v>0</v>
      </c>
    </row>
    <row r="550" spans="1:12" ht="15">
      <c r="A550" s="87" t="s">
        <v>539</v>
      </c>
      <c r="B550" s="90" t="s">
        <v>1529</v>
      </c>
      <c r="C550" s="90">
        <v>3</v>
      </c>
      <c r="D550" s="114">
        <v>0</v>
      </c>
      <c r="E550" s="114">
        <v>1.2041199826559248</v>
      </c>
      <c r="F550" s="90" t="s">
        <v>1385</v>
      </c>
      <c r="G550" s="90" t="b">
        <v>0</v>
      </c>
      <c r="H550" s="90" t="b">
        <v>0</v>
      </c>
      <c r="I550" s="90" t="b">
        <v>0</v>
      </c>
      <c r="J550" s="90" t="b">
        <v>0</v>
      </c>
      <c r="K550" s="90" t="b">
        <v>0</v>
      </c>
      <c r="L550" s="90" t="b">
        <v>0</v>
      </c>
    </row>
    <row r="551" spans="1:12" ht="15">
      <c r="A551" s="87" t="s">
        <v>1529</v>
      </c>
      <c r="B551" s="90" t="s">
        <v>1530</v>
      </c>
      <c r="C551" s="90">
        <v>3</v>
      </c>
      <c r="D551" s="114">
        <v>0</v>
      </c>
      <c r="E551" s="114">
        <v>1.2041199826559248</v>
      </c>
      <c r="F551" s="90" t="s">
        <v>1385</v>
      </c>
      <c r="G551" s="90" t="b">
        <v>0</v>
      </c>
      <c r="H551" s="90" t="b">
        <v>0</v>
      </c>
      <c r="I551" s="90" t="b">
        <v>0</v>
      </c>
      <c r="J551" s="90" t="b">
        <v>0</v>
      </c>
      <c r="K551" s="90" t="b">
        <v>0</v>
      </c>
      <c r="L551" s="90" t="b">
        <v>0</v>
      </c>
    </row>
    <row r="552" spans="1:12" ht="15">
      <c r="A552" s="87" t="s">
        <v>1530</v>
      </c>
      <c r="B552" s="90" t="s">
        <v>1531</v>
      </c>
      <c r="C552" s="90">
        <v>3</v>
      </c>
      <c r="D552" s="114">
        <v>0</v>
      </c>
      <c r="E552" s="114">
        <v>1.2041199826559248</v>
      </c>
      <c r="F552" s="90" t="s">
        <v>1385</v>
      </c>
      <c r="G552" s="90" t="b">
        <v>0</v>
      </c>
      <c r="H552" s="90" t="b">
        <v>0</v>
      </c>
      <c r="I552" s="90" t="b">
        <v>0</v>
      </c>
      <c r="J552" s="90" t="b">
        <v>0</v>
      </c>
      <c r="K552" s="90" t="b">
        <v>0</v>
      </c>
      <c r="L552" s="90" t="b">
        <v>0</v>
      </c>
    </row>
    <row r="553" spans="1:12" ht="15">
      <c r="A553" s="87" t="s">
        <v>1531</v>
      </c>
      <c r="B553" s="90" t="s">
        <v>1495</v>
      </c>
      <c r="C553" s="90">
        <v>3</v>
      </c>
      <c r="D553" s="114">
        <v>0</v>
      </c>
      <c r="E553" s="114">
        <v>1.2041199826559248</v>
      </c>
      <c r="F553" s="90" t="s">
        <v>1385</v>
      </c>
      <c r="G553" s="90" t="b">
        <v>0</v>
      </c>
      <c r="H553" s="90" t="b">
        <v>0</v>
      </c>
      <c r="I553" s="90" t="b">
        <v>0</v>
      </c>
      <c r="J553" s="90" t="b">
        <v>0</v>
      </c>
      <c r="K553" s="90" t="b">
        <v>0</v>
      </c>
      <c r="L553" s="90" t="b">
        <v>0</v>
      </c>
    </row>
    <row r="554" spans="1:12" ht="15">
      <c r="A554" s="87" t="s">
        <v>1495</v>
      </c>
      <c r="B554" s="90" t="s">
        <v>1496</v>
      </c>
      <c r="C554" s="90">
        <v>3</v>
      </c>
      <c r="D554" s="114">
        <v>0</v>
      </c>
      <c r="E554" s="114">
        <v>1.2041199826559248</v>
      </c>
      <c r="F554" s="90" t="s">
        <v>1385</v>
      </c>
      <c r="G554" s="90" t="b">
        <v>0</v>
      </c>
      <c r="H554" s="90" t="b">
        <v>0</v>
      </c>
      <c r="I554" s="90" t="b">
        <v>0</v>
      </c>
      <c r="J554" s="90" t="b">
        <v>0</v>
      </c>
      <c r="K554" s="90" t="b">
        <v>0</v>
      </c>
      <c r="L554" s="90" t="b">
        <v>0</v>
      </c>
    </row>
    <row r="555" spans="1:12" ht="15">
      <c r="A555" s="87" t="s">
        <v>1496</v>
      </c>
      <c r="B555" s="90" t="s">
        <v>1532</v>
      </c>
      <c r="C555" s="90">
        <v>3</v>
      </c>
      <c r="D555" s="114">
        <v>0</v>
      </c>
      <c r="E555" s="114">
        <v>1.2041199826559248</v>
      </c>
      <c r="F555" s="90" t="s">
        <v>1385</v>
      </c>
      <c r="G555" s="90" t="b">
        <v>0</v>
      </c>
      <c r="H555" s="90" t="b">
        <v>0</v>
      </c>
      <c r="I555" s="90" t="b">
        <v>0</v>
      </c>
      <c r="J555" s="90" t="b">
        <v>0</v>
      </c>
      <c r="K555" s="90" t="b">
        <v>0</v>
      </c>
      <c r="L555" s="90" t="b">
        <v>0</v>
      </c>
    </row>
    <row r="556" spans="1:12" ht="15">
      <c r="A556" s="87" t="s">
        <v>1532</v>
      </c>
      <c r="B556" s="90" t="s">
        <v>1533</v>
      </c>
      <c r="C556" s="90">
        <v>3</v>
      </c>
      <c r="D556" s="114">
        <v>0</v>
      </c>
      <c r="E556" s="114">
        <v>1.2041199826559248</v>
      </c>
      <c r="F556" s="90" t="s">
        <v>1385</v>
      </c>
      <c r="G556" s="90" t="b">
        <v>0</v>
      </c>
      <c r="H556" s="90" t="b">
        <v>0</v>
      </c>
      <c r="I556" s="90" t="b">
        <v>0</v>
      </c>
      <c r="J556" s="90" t="b">
        <v>0</v>
      </c>
      <c r="K556" s="90" t="b">
        <v>0</v>
      </c>
      <c r="L556" s="90" t="b">
        <v>0</v>
      </c>
    </row>
    <row r="557" spans="1:12" ht="15">
      <c r="A557" s="87" t="s">
        <v>1533</v>
      </c>
      <c r="B557" s="90" t="s">
        <v>1534</v>
      </c>
      <c r="C557" s="90">
        <v>3</v>
      </c>
      <c r="D557" s="114">
        <v>0</v>
      </c>
      <c r="E557" s="114">
        <v>1.2041199826559248</v>
      </c>
      <c r="F557" s="90" t="s">
        <v>1385</v>
      </c>
      <c r="G557" s="90" t="b">
        <v>0</v>
      </c>
      <c r="H557" s="90" t="b">
        <v>0</v>
      </c>
      <c r="I557" s="90" t="b">
        <v>0</v>
      </c>
      <c r="J557" s="90" t="b">
        <v>1</v>
      </c>
      <c r="K557" s="90" t="b">
        <v>0</v>
      </c>
      <c r="L557" s="90" t="b">
        <v>0</v>
      </c>
    </row>
    <row r="558" spans="1:12" ht="15">
      <c r="A558" s="87" t="s">
        <v>1534</v>
      </c>
      <c r="B558" s="90" t="s">
        <v>1535</v>
      </c>
      <c r="C558" s="90">
        <v>3</v>
      </c>
      <c r="D558" s="114">
        <v>0</v>
      </c>
      <c r="E558" s="114">
        <v>1.2041199826559248</v>
      </c>
      <c r="F558" s="90" t="s">
        <v>1385</v>
      </c>
      <c r="G558" s="90" t="b">
        <v>1</v>
      </c>
      <c r="H558" s="90" t="b">
        <v>0</v>
      </c>
      <c r="I558" s="90" t="b">
        <v>0</v>
      </c>
      <c r="J558" s="90" t="b">
        <v>0</v>
      </c>
      <c r="K558" s="90" t="b">
        <v>1</v>
      </c>
      <c r="L558" s="90" t="b">
        <v>0</v>
      </c>
    </row>
    <row r="559" spans="1:12" ht="15">
      <c r="A559" s="87" t="s">
        <v>1535</v>
      </c>
      <c r="B559" s="90" t="s">
        <v>1880</v>
      </c>
      <c r="C559" s="90">
        <v>3</v>
      </c>
      <c r="D559" s="114">
        <v>0</v>
      </c>
      <c r="E559" s="114">
        <v>1.2041199826559248</v>
      </c>
      <c r="F559" s="90" t="s">
        <v>1385</v>
      </c>
      <c r="G559" s="90" t="b">
        <v>0</v>
      </c>
      <c r="H559" s="90" t="b">
        <v>1</v>
      </c>
      <c r="I559" s="90" t="b">
        <v>0</v>
      </c>
      <c r="J559" s="90" t="b">
        <v>0</v>
      </c>
      <c r="K559" s="90" t="b">
        <v>0</v>
      </c>
      <c r="L559" s="90" t="b">
        <v>0</v>
      </c>
    </row>
    <row r="560" spans="1:12" ht="15">
      <c r="A560" s="87" t="s">
        <v>1880</v>
      </c>
      <c r="B560" s="90" t="s">
        <v>1913</v>
      </c>
      <c r="C560" s="90">
        <v>3</v>
      </c>
      <c r="D560" s="114">
        <v>0</v>
      </c>
      <c r="E560" s="114">
        <v>1.2041199826559248</v>
      </c>
      <c r="F560" s="90" t="s">
        <v>1385</v>
      </c>
      <c r="G560" s="90" t="b">
        <v>0</v>
      </c>
      <c r="H560" s="90" t="b">
        <v>0</v>
      </c>
      <c r="I560" s="90" t="b">
        <v>0</v>
      </c>
      <c r="J560" s="90" t="b">
        <v>0</v>
      </c>
      <c r="K560" s="90" t="b">
        <v>0</v>
      </c>
      <c r="L560" s="90" t="b">
        <v>0</v>
      </c>
    </row>
    <row r="561" spans="1:12" ht="15">
      <c r="A561" s="87" t="s">
        <v>1913</v>
      </c>
      <c r="B561" s="90" t="s">
        <v>1914</v>
      </c>
      <c r="C561" s="90">
        <v>3</v>
      </c>
      <c r="D561" s="114">
        <v>0</v>
      </c>
      <c r="E561" s="114">
        <v>1.2041199826559248</v>
      </c>
      <c r="F561" s="90" t="s">
        <v>1385</v>
      </c>
      <c r="G561" s="90" t="b">
        <v>0</v>
      </c>
      <c r="H561" s="90" t="b">
        <v>0</v>
      </c>
      <c r="I561" s="90" t="b">
        <v>0</v>
      </c>
      <c r="J561" s="90" t="b">
        <v>0</v>
      </c>
      <c r="K561" s="90" t="b">
        <v>0</v>
      </c>
      <c r="L561" s="90" t="b">
        <v>0</v>
      </c>
    </row>
    <row r="562" spans="1:12" ht="15">
      <c r="A562" s="87" t="s">
        <v>1914</v>
      </c>
      <c r="B562" s="90" t="s">
        <v>1915</v>
      </c>
      <c r="C562" s="90">
        <v>3</v>
      </c>
      <c r="D562" s="114">
        <v>0</v>
      </c>
      <c r="E562" s="114">
        <v>1.2041199826559248</v>
      </c>
      <c r="F562" s="90" t="s">
        <v>1385</v>
      </c>
      <c r="G562" s="90" t="b">
        <v>0</v>
      </c>
      <c r="H562" s="90" t="b">
        <v>0</v>
      </c>
      <c r="I562" s="90" t="b">
        <v>0</v>
      </c>
      <c r="J562" s="90" t="b">
        <v>1</v>
      </c>
      <c r="K562" s="90" t="b">
        <v>0</v>
      </c>
      <c r="L562" s="90" t="b">
        <v>0</v>
      </c>
    </row>
    <row r="563" spans="1:12" ht="15">
      <c r="A563" s="87" t="s">
        <v>1915</v>
      </c>
      <c r="B563" s="90" t="s">
        <v>1916</v>
      </c>
      <c r="C563" s="90">
        <v>3</v>
      </c>
      <c r="D563" s="114">
        <v>0</v>
      </c>
      <c r="E563" s="114">
        <v>1.2041199826559248</v>
      </c>
      <c r="F563" s="90" t="s">
        <v>1385</v>
      </c>
      <c r="G563" s="90" t="b">
        <v>1</v>
      </c>
      <c r="H563" s="90" t="b">
        <v>0</v>
      </c>
      <c r="I563" s="90" t="b">
        <v>0</v>
      </c>
      <c r="J563" s="90" t="b">
        <v>0</v>
      </c>
      <c r="K563" s="90" t="b">
        <v>0</v>
      </c>
      <c r="L563" s="90" t="b">
        <v>0</v>
      </c>
    </row>
    <row r="564" spans="1:12" ht="15">
      <c r="A564" s="87" t="s">
        <v>1916</v>
      </c>
      <c r="B564" s="90" t="s">
        <v>1917</v>
      </c>
      <c r="C564" s="90">
        <v>3</v>
      </c>
      <c r="D564" s="114">
        <v>0</v>
      </c>
      <c r="E564" s="114">
        <v>1.2041199826559248</v>
      </c>
      <c r="F564" s="90" t="s">
        <v>1385</v>
      </c>
      <c r="G564" s="90" t="b">
        <v>0</v>
      </c>
      <c r="H564" s="90" t="b">
        <v>0</v>
      </c>
      <c r="I564" s="90" t="b">
        <v>0</v>
      </c>
      <c r="J564" s="90" t="b">
        <v>0</v>
      </c>
      <c r="K564" s="90" t="b">
        <v>0</v>
      </c>
      <c r="L564" s="90" t="b">
        <v>0</v>
      </c>
    </row>
    <row r="565" spans="1:12" ht="15">
      <c r="A565" s="87" t="s">
        <v>1917</v>
      </c>
      <c r="B565" s="90" t="s">
        <v>1918</v>
      </c>
      <c r="C565" s="90">
        <v>3</v>
      </c>
      <c r="D565" s="114">
        <v>0</v>
      </c>
      <c r="E565" s="114">
        <v>1.2041199826559248</v>
      </c>
      <c r="F565" s="90" t="s">
        <v>1385</v>
      </c>
      <c r="G565" s="90" t="b">
        <v>0</v>
      </c>
      <c r="H565" s="90" t="b">
        <v>0</v>
      </c>
      <c r="I565" s="90" t="b">
        <v>0</v>
      </c>
      <c r="J565" s="90" t="b">
        <v>0</v>
      </c>
      <c r="K565" s="90" t="b">
        <v>0</v>
      </c>
      <c r="L565" s="90" t="b">
        <v>0</v>
      </c>
    </row>
    <row r="566" spans="1:12" ht="15">
      <c r="A566" s="87" t="s">
        <v>1537</v>
      </c>
      <c r="B566" s="90" t="s">
        <v>1538</v>
      </c>
      <c r="C566" s="90">
        <v>2</v>
      </c>
      <c r="D566" s="114">
        <v>0</v>
      </c>
      <c r="E566" s="114">
        <v>1.0791812460476249</v>
      </c>
      <c r="F566" s="90" t="s">
        <v>1386</v>
      </c>
      <c r="G566" s="90" t="b">
        <v>0</v>
      </c>
      <c r="H566" s="90" t="b">
        <v>0</v>
      </c>
      <c r="I566" s="90" t="b">
        <v>0</v>
      </c>
      <c r="J566" s="90" t="b">
        <v>1</v>
      </c>
      <c r="K566" s="90" t="b">
        <v>0</v>
      </c>
      <c r="L566" s="90" t="b">
        <v>0</v>
      </c>
    </row>
    <row r="567" spans="1:12" ht="15">
      <c r="A567" s="87" t="s">
        <v>1538</v>
      </c>
      <c r="B567" s="90" t="s">
        <v>1539</v>
      </c>
      <c r="C567" s="90">
        <v>2</v>
      </c>
      <c r="D567" s="114">
        <v>0</v>
      </c>
      <c r="E567" s="114">
        <v>1.0791812460476249</v>
      </c>
      <c r="F567" s="90" t="s">
        <v>1386</v>
      </c>
      <c r="G567" s="90" t="b">
        <v>1</v>
      </c>
      <c r="H567" s="90" t="b">
        <v>0</v>
      </c>
      <c r="I567" s="90" t="b">
        <v>0</v>
      </c>
      <c r="J567" s="90" t="b">
        <v>0</v>
      </c>
      <c r="K567" s="90" t="b">
        <v>0</v>
      </c>
      <c r="L567" s="90" t="b">
        <v>0</v>
      </c>
    </row>
    <row r="568" spans="1:12" ht="15">
      <c r="A568" s="87" t="s">
        <v>1539</v>
      </c>
      <c r="B568" s="90" t="s">
        <v>1540</v>
      </c>
      <c r="C568" s="90">
        <v>2</v>
      </c>
      <c r="D568" s="114">
        <v>0</v>
      </c>
      <c r="E568" s="114">
        <v>1.0791812460476249</v>
      </c>
      <c r="F568" s="90" t="s">
        <v>1386</v>
      </c>
      <c r="G568" s="90" t="b">
        <v>0</v>
      </c>
      <c r="H568" s="90" t="b">
        <v>0</v>
      </c>
      <c r="I568" s="90" t="b">
        <v>0</v>
      </c>
      <c r="J568" s="90" t="b">
        <v>0</v>
      </c>
      <c r="K568" s="90" t="b">
        <v>0</v>
      </c>
      <c r="L568" s="90" t="b">
        <v>0</v>
      </c>
    </row>
    <row r="569" spans="1:12" ht="15">
      <c r="A569" s="87" t="s">
        <v>1540</v>
      </c>
      <c r="B569" s="90" t="s">
        <v>1541</v>
      </c>
      <c r="C569" s="90">
        <v>2</v>
      </c>
      <c r="D569" s="114">
        <v>0</v>
      </c>
      <c r="E569" s="114">
        <v>1.0791812460476249</v>
      </c>
      <c r="F569" s="90" t="s">
        <v>1386</v>
      </c>
      <c r="G569" s="90" t="b">
        <v>0</v>
      </c>
      <c r="H569" s="90" t="b">
        <v>0</v>
      </c>
      <c r="I569" s="90" t="b">
        <v>0</v>
      </c>
      <c r="J569" s="90" t="b">
        <v>0</v>
      </c>
      <c r="K569" s="90" t="b">
        <v>0</v>
      </c>
      <c r="L569" s="90" t="b">
        <v>0</v>
      </c>
    </row>
    <row r="570" spans="1:12" ht="15">
      <c r="A570" s="87" t="s">
        <v>1541</v>
      </c>
      <c r="B570" s="90" t="s">
        <v>1542</v>
      </c>
      <c r="C570" s="90">
        <v>2</v>
      </c>
      <c r="D570" s="114">
        <v>0</v>
      </c>
      <c r="E570" s="114">
        <v>1.0791812460476249</v>
      </c>
      <c r="F570" s="90" t="s">
        <v>1386</v>
      </c>
      <c r="G570" s="90" t="b">
        <v>0</v>
      </c>
      <c r="H570" s="90" t="b">
        <v>0</v>
      </c>
      <c r="I570" s="90" t="b">
        <v>0</v>
      </c>
      <c r="J570" s="90" t="b">
        <v>0</v>
      </c>
      <c r="K570" s="90" t="b">
        <v>0</v>
      </c>
      <c r="L570" s="90" t="b">
        <v>0</v>
      </c>
    </row>
    <row r="571" spans="1:12" ht="15">
      <c r="A571" s="87" t="s">
        <v>1542</v>
      </c>
      <c r="B571" s="90" t="s">
        <v>1543</v>
      </c>
      <c r="C571" s="90">
        <v>2</v>
      </c>
      <c r="D571" s="114">
        <v>0</v>
      </c>
      <c r="E571" s="114">
        <v>1.0791812460476249</v>
      </c>
      <c r="F571" s="90" t="s">
        <v>1386</v>
      </c>
      <c r="G571" s="90" t="b">
        <v>0</v>
      </c>
      <c r="H571" s="90" t="b">
        <v>0</v>
      </c>
      <c r="I571" s="90" t="b">
        <v>0</v>
      </c>
      <c r="J571" s="90" t="b">
        <v>0</v>
      </c>
      <c r="K571" s="90" t="b">
        <v>1</v>
      </c>
      <c r="L571" s="90" t="b">
        <v>0</v>
      </c>
    </row>
    <row r="572" spans="1:12" ht="15">
      <c r="A572" s="87" t="s">
        <v>1543</v>
      </c>
      <c r="B572" s="90" t="s">
        <v>1544</v>
      </c>
      <c r="C572" s="90">
        <v>2</v>
      </c>
      <c r="D572" s="114">
        <v>0</v>
      </c>
      <c r="E572" s="114">
        <v>1.0791812460476249</v>
      </c>
      <c r="F572" s="90" t="s">
        <v>1386</v>
      </c>
      <c r="G572" s="90" t="b">
        <v>0</v>
      </c>
      <c r="H572" s="90" t="b">
        <v>1</v>
      </c>
      <c r="I572" s="90" t="b">
        <v>0</v>
      </c>
      <c r="J572" s="90" t="b">
        <v>0</v>
      </c>
      <c r="K572" s="90" t="b">
        <v>0</v>
      </c>
      <c r="L572" s="90" t="b">
        <v>0</v>
      </c>
    </row>
    <row r="573" spans="1:12" ht="15">
      <c r="A573" s="87" t="s">
        <v>1544</v>
      </c>
      <c r="B573" s="90" t="s">
        <v>1545</v>
      </c>
      <c r="C573" s="90">
        <v>2</v>
      </c>
      <c r="D573" s="114">
        <v>0</v>
      </c>
      <c r="E573" s="114">
        <v>1.0791812460476249</v>
      </c>
      <c r="F573" s="90" t="s">
        <v>1386</v>
      </c>
      <c r="G573" s="90" t="b">
        <v>0</v>
      </c>
      <c r="H573" s="90" t="b">
        <v>0</v>
      </c>
      <c r="I573" s="90" t="b">
        <v>0</v>
      </c>
      <c r="J573" s="90" t="b">
        <v>0</v>
      </c>
      <c r="K573" s="90" t="b">
        <v>0</v>
      </c>
      <c r="L573" s="90" t="b">
        <v>0</v>
      </c>
    </row>
    <row r="574" spans="1:12" ht="15">
      <c r="A574" s="87" t="s">
        <v>1545</v>
      </c>
      <c r="B574" s="90" t="s">
        <v>1495</v>
      </c>
      <c r="C574" s="90">
        <v>2</v>
      </c>
      <c r="D574" s="114">
        <v>0</v>
      </c>
      <c r="E574" s="114">
        <v>1.0791812460476249</v>
      </c>
      <c r="F574" s="90" t="s">
        <v>1386</v>
      </c>
      <c r="G574" s="90" t="b">
        <v>0</v>
      </c>
      <c r="H574" s="90" t="b">
        <v>0</v>
      </c>
      <c r="I574" s="90" t="b">
        <v>0</v>
      </c>
      <c r="J574" s="90" t="b">
        <v>0</v>
      </c>
      <c r="K574" s="90" t="b">
        <v>0</v>
      </c>
      <c r="L574" s="90" t="b">
        <v>0</v>
      </c>
    </row>
    <row r="575" spans="1:12" ht="15">
      <c r="A575" s="87" t="s">
        <v>1495</v>
      </c>
      <c r="B575" s="90" t="s">
        <v>1496</v>
      </c>
      <c r="C575" s="90">
        <v>2</v>
      </c>
      <c r="D575" s="114">
        <v>0</v>
      </c>
      <c r="E575" s="114">
        <v>1.0791812460476249</v>
      </c>
      <c r="F575" s="90" t="s">
        <v>1386</v>
      </c>
      <c r="G575" s="90" t="b">
        <v>0</v>
      </c>
      <c r="H575" s="90" t="b">
        <v>0</v>
      </c>
      <c r="I575" s="90" t="b">
        <v>0</v>
      </c>
      <c r="J575" s="90" t="b">
        <v>0</v>
      </c>
      <c r="K575" s="90" t="b">
        <v>0</v>
      </c>
      <c r="L575" s="90" t="b">
        <v>0</v>
      </c>
    </row>
    <row r="576" spans="1:12" ht="15">
      <c r="A576" s="87" t="s">
        <v>1496</v>
      </c>
      <c r="B576" s="90" t="s">
        <v>1519</v>
      </c>
      <c r="C576" s="90">
        <v>2</v>
      </c>
      <c r="D576" s="114">
        <v>0</v>
      </c>
      <c r="E576" s="114">
        <v>1.0791812460476249</v>
      </c>
      <c r="F576" s="90" t="s">
        <v>1386</v>
      </c>
      <c r="G576" s="90" t="b">
        <v>0</v>
      </c>
      <c r="H576" s="90" t="b">
        <v>0</v>
      </c>
      <c r="I576" s="90" t="b">
        <v>0</v>
      </c>
      <c r="J576" s="90" t="b">
        <v>0</v>
      </c>
      <c r="K576" s="90" t="b">
        <v>0</v>
      </c>
      <c r="L576" s="90" t="b">
        <v>0</v>
      </c>
    </row>
    <row r="577" spans="1:12" ht="15">
      <c r="A577" s="87" t="s">
        <v>1519</v>
      </c>
      <c r="B577" s="90" t="s">
        <v>307</v>
      </c>
      <c r="C577" s="90">
        <v>2</v>
      </c>
      <c r="D577" s="114">
        <v>0</v>
      </c>
      <c r="E577" s="114">
        <v>1.0791812460476249</v>
      </c>
      <c r="F577" s="90" t="s">
        <v>1386</v>
      </c>
      <c r="G577" s="90" t="b">
        <v>0</v>
      </c>
      <c r="H577" s="90" t="b">
        <v>0</v>
      </c>
      <c r="I577" s="90" t="b">
        <v>0</v>
      </c>
      <c r="J577" s="90" t="b">
        <v>0</v>
      </c>
      <c r="K577" s="90" t="b">
        <v>0</v>
      </c>
      <c r="L577" s="90" t="b">
        <v>0</v>
      </c>
    </row>
    <row r="578" spans="1:12" ht="15">
      <c r="A578" s="87" t="s">
        <v>1865</v>
      </c>
      <c r="B578" s="90" t="s">
        <v>2008</v>
      </c>
      <c r="C578" s="90">
        <v>2</v>
      </c>
      <c r="D578" s="114">
        <v>0</v>
      </c>
      <c r="E578" s="114">
        <v>0.8450980400142568</v>
      </c>
      <c r="F578" s="90" t="s">
        <v>1387</v>
      </c>
      <c r="G578" s="90" t="b">
        <v>0</v>
      </c>
      <c r="H578" s="90" t="b">
        <v>0</v>
      </c>
      <c r="I578" s="90" t="b">
        <v>0</v>
      </c>
      <c r="J578" s="90" t="b">
        <v>0</v>
      </c>
      <c r="K578" s="90" t="b">
        <v>0</v>
      </c>
      <c r="L578" s="90" t="b">
        <v>0</v>
      </c>
    </row>
    <row r="579" spans="1:12" ht="15">
      <c r="A579" s="87" t="s">
        <v>2008</v>
      </c>
      <c r="B579" s="90" t="s">
        <v>2009</v>
      </c>
      <c r="C579" s="90">
        <v>2</v>
      </c>
      <c r="D579" s="114">
        <v>0</v>
      </c>
      <c r="E579" s="114">
        <v>0.8450980400142568</v>
      </c>
      <c r="F579" s="90" t="s">
        <v>1387</v>
      </c>
      <c r="G579" s="90" t="b">
        <v>0</v>
      </c>
      <c r="H579" s="90" t="b">
        <v>0</v>
      </c>
      <c r="I579" s="90" t="b">
        <v>0</v>
      </c>
      <c r="J579" s="90" t="b">
        <v>1</v>
      </c>
      <c r="K579" s="90" t="b">
        <v>0</v>
      </c>
      <c r="L579" s="90" t="b">
        <v>0</v>
      </c>
    </row>
    <row r="580" spans="1:12" ht="15">
      <c r="A580" s="87" t="s">
        <v>2009</v>
      </c>
      <c r="B580" s="90" t="s">
        <v>2010</v>
      </c>
      <c r="C580" s="90">
        <v>2</v>
      </c>
      <c r="D580" s="114">
        <v>0</v>
      </c>
      <c r="E580" s="114">
        <v>0.8450980400142568</v>
      </c>
      <c r="F580" s="90" t="s">
        <v>1387</v>
      </c>
      <c r="G580" s="90" t="b">
        <v>1</v>
      </c>
      <c r="H580" s="90" t="b">
        <v>0</v>
      </c>
      <c r="I580" s="90" t="b">
        <v>0</v>
      </c>
      <c r="J580" s="90" t="b">
        <v>0</v>
      </c>
      <c r="K580" s="90" t="b">
        <v>0</v>
      </c>
      <c r="L580" s="90" t="b">
        <v>0</v>
      </c>
    </row>
    <row r="581" spans="1:12" ht="15">
      <c r="A581" s="87" t="s">
        <v>2010</v>
      </c>
      <c r="B581" s="90" t="s">
        <v>1495</v>
      </c>
      <c r="C581" s="90">
        <v>2</v>
      </c>
      <c r="D581" s="114">
        <v>0</v>
      </c>
      <c r="E581" s="114">
        <v>0.8450980400142568</v>
      </c>
      <c r="F581" s="90" t="s">
        <v>1387</v>
      </c>
      <c r="G581" s="90" t="b">
        <v>0</v>
      </c>
      <c r="H581" s="90" t="b">
        <v>0</v>
      </c>
      <c r="I581" s="90" t="b">
        <v>0</v>
      </c>
      <c r="J581" s="90" t="b">
        <v>0</v>
      </c>
      <c r="K581" s="90" t="b">
        <v>0</v>
      </c>
      <c r="L581" s="90" t="b">
        <v>0</v>
      </c>
    </row>
    <row r="582" spans="1:12" ht="15">
      <c r="A582" s="87" t="s">
        <v>1495</v>
      </c>
      <c r="B582" s="90" t="s">
        <v>1496</v>
      </c>
      <c r="C582" s="90">
        <v>2</v>
      </c>
      <c r="D582" s="114">
        <v>0</v>
      </c>
      <c r="E582" s="114">
        <v>0.8450980400142568</v>
      </c>
      <c r="F582" s="90" t="s">
        <v>1387</v>
      </c>
      <c r="G582" s="90" t="b">
        <v>0</v>
      </c>
      <c r="H582" s="90" t="b">
        <v>0</v>
      </c>
      <c r="I582" s="90" t="b">
        <v>0</v>
      </c>
      <c r="J582" s="90" t="b">
        <v>0</v>
      </c>
      <c r="K582" s="90" t="b">
        <v>0</v>
      </c>
      <c r="L582" s="90" t="b">
        <v>0</v>
      </c>
    </row>
    <row r="583" spans="1:12" ht="15">
      <c r="A583" s="87" t="s">
        <v>1496</v>
      </c>
      <c r="B583" s="90" t="s">
        <v>2011</v>
      </c>
      <c r="C583" s="90">
        <v>2</v>
      </c>
      <c r="D583" s="114">
        <v>0</v>
      </c>
      <c r="E583" s="114">
        <v>0.8450980400142568</v>
      </c>
      <c r="F583" s="90" t="s">
        <v>1387</v>
      </c>
      <c r="G583" s="90" t="b">
        <v>0</v>
      </c>
      <c r="H583" s="90" t="b">
        <v>0</v>
      </c>
      <c r="I583" s="90" t="b">
        <v>0</v>
      </c>
      <c r="J583" s="90" t="b">
        <v>0</v>
      </c>
      <c r="K583" s="90" t="b">
        <v>0</v>
      </c>
      <c r="L583" s="90" t="b">
        <v>0</v>
      </c>
    </row>
    <row r="584" spans="1:12" ht="15">
      <c r="A584" s="87" t="s">
        <v>2011</v>
      </c>
      <c r="B584" s="90" t="s">
        <v>2012</v>
      </c>
      <c r="C584" s="90">
        <v>2</v>
      </c>
      <c r="D584" s="114">
        <v>0</v>
      </c>
      <c r="E584" s="114">
        <v>0.8450980400142568</v>
      </c>
      <c r="F584" s="90" t="s">
        <v>1387</v>
      </c>
      <c r="G584" s="90" t="b">
        <v>0</v>
      </c>
      <c r="H584" s="90" t="b">
        <v>0</v>
      </c>
      <c r="I584" s="90" t="b">
        <v>0</v>
      </c>
      <c r="J584" s="90" t="b">
        <v>0</v>
      </c>
      <c r="K584" s="90" t="b">
        <v>0</v>
      </c>
      <c r="L584" s="90" t="b">
        <v>0</v>
      </c>
    </row>
    <row r="585" spans="1:12" ht="15">
      <c r="A585" s="87" t="s">
        <v>2022</v>
      </c>
      <c r="B585" s="90" t="s">
        <v>539</v>
      </c>
      <c r="C585" s="90">
        <v>2</v>
      </c>
      <c r="D585" s="114">
        <v>0</v>
      </c>
      <c r="E585" s="114">
        <v>1.2041199826559248</v>
      </c>
      <c r="F585" s="90" t="s">
        <v>1392</v>
      </c>
      <c r="G585" s="90" t="b">
        <v>0</v>
      </c>
      <c r="H585" s="90" t="b">
        <v>0</v>
      </c>
      <c r="I585" s="90" t="b">
        <v>0</v>
      </c>
      <c r="J585" s="90" t="b">
        <v>0</v>
      </c>
      <c r="K585" s="90" t="b">
        <v>0</v>
      </c>
      <c r="L585" s="90" t="b">
        <v>0</v>
      </c>
    </row>
    <row r="586" spans="1:12" ht="15">
      <c r="A586" s="87" t="s">
        <v>539</v>
      </c>
      <c r="B586" s="90" t="s">
        <v>2023</v>
      </c>
      <c r="C586" s="90">
        <v>2</v>
      </c>
      <c r="D586" s="114">
        <v>0</v>
      </c>
      <c r="E586" s="114">
        <v>1.2041199826559248</v>
      </c>
      <c r="F586" s="90" t="s">
        <v>1392</v>
      </c>
      <c r="G586" s="90" t="b">
        <v>0</v>
      </c>
      <c r="H586" s="90" t="b">
        <v>0</v>
      </c>
      <c r="I586" s="90" t="b">
        <v>0</v>
      </c>
      <c r="J586" s="90" t="b">
        <v>0</v>
      </c>
      <c r="K586" s="90" t="b">
        <v>1</v>
      </c>
      <c r="L586" s="90" t="b">
        <v>0</v>
      </c>
    </row>
    <row r="587" spans="1:12" ht="15">
      <c r="A587" s="87" t="s">
        <v>2023</v>
      </c>
      <c r="B587" s="90" t="s">
        <v>1811</v>
      </c>
      <c r="C587" s="90">
        <v>2</v>
      </c>
      <c r="D587" s="114">
        <v>0</v>
      </c>
      <c r="E587" s="114">
        <v>1.2041199826559248</v>
      </c>
      <c r="F587" s="90" t="s">
        <v>1392</v>
      </c>
      <c r="G587" s="90" t="b">
        <v>0</v>
      </c>
      <c r="H587" s="90" t="b">
        <v>1</v>
      </c>
      <c r="I587" s="90" t="b">
        <v>0</v>
      </c>
      <c r="J587" s="90" t="b">
        <v>0</v>
      </c>
      <c r="K587" s="90" t="b">
        <v>0</v>
      </c>
      <c r="L587" s="90" t="b">
        <v>0</v>
      </c>
    </row>
    <row r="588" spans="1:12" ht="15">
      <c r="A588" s="87" t="s">
        <v>1811</v>
      </c>
      <c r="B588" s="90" t="s">
        <v>1495</v>
      </c>
      <c r="C588" s="90">
        <v>2</v>
      </c>
      <c r="D588" s="114">
        <v>0</v>
      </c>
      <c r="E588" s="114">
        <v>1.2041199826559248</v>
      </c>
      <c r="F588" s="90" t="s">
        <v>1392</v>
      </c>
      <c r="G588" s="90" t="b">
        <v>0</v>
      </c>
      <c r="H588" s="90" t="b">
        <v>0</v>
      </c>
      <c r="I588" s="90" t="b">
        <v>0</v>
      </c>
      <c r="J588" s="90" t="b">
        <v>0</v>
      </c>
      <c r="K588" s="90" t="b">
        <v>0</v>
      </c>
      <c r="L588" s="90" t="b">
        <v>0</v>
      </c>
    </row>
    <row r="589" spans="1:12" ht="15">
      <c r="A589" s="87" t="s">
        <v>1495</v>
      </c>
      <c r="B589" s="90" t="s">
        <v>2024</v>
      </c>
      <c r="C589" s="90">
        <v>2</v>
      </c>
      <c r="D589" s="114">
        <v>0</v>
      </c>
      <c r="E589" s="114">
        <v>1.2041199826559248</v>
      </c>
      <c r="F589" s="90" t="s">
        <v>1392</v>
      </c>
      <c r="G589" s="90" t="b">
        <v>0</v>
      </c>
      <c r="H589" s="90" t="b">
        <v>0</v>
      </c>
      <c r="I589" s="90" t="b">
        <v>0</v>
      </c>
      <c r="J589" s="90" t="b">
        <v>0</v>
      </c>
      <c r="K589" s="90" t="b">
        <v>0</v>
      </c>
      <c r="L589" s="90" t="b">
        <v>0</v>
      </c>
    </row>
    <row r="590" spans="1:12" ht="15">
      <c r="A590" s="87" t="s">
        <v>2024</v>
      </c>
      <c r="B590" s="90" t="s">
        <v>2025</v>
      </c>
      <c r="C590" s="90">
        <v>2</v>
      </c>
      <c r="D590" s="114">
        <v>0</v>
      </c>
      <c r="E590" s="114">
        <v>1.2041199826559248</v>
      </c>
      <c r="F590" s="90" t="s">
        <v>1392</v>
      </c>
      <c r="G590" s="90" t="b">
        <v>0</v>
      </c>
      <c r="H590" s="90" t="b">
        <v>0</v>
      </c>
      <c r="I590" s="90" t="b">
        <v>0</v>
      </c>
      <c r="J590" s="90" t="b">
        <v>0</v>
      </c>
      <c r="K590" s="90" t="b">
        <v>0</v>
      </c>
      <c r="L590" s="90" t="b">
        <v>0</v>
      </c>
    </row>
    <row r="591" spans="1:12" ht="15">
      <c r="A591" s="87" t="s">
        <v>2025</v>
      </c>
      <c r="B591" s="90" t="s">
        <v>2026</v>
      </c>
      <c r="C591" s="90">
        <v>2</v>
      </c>
      <c r="D591" s="114">
        <v>0</v>
      </c>
      <c r="E591" s="114">
        <v>1.2041199826559248</v>
      </c>
      <c r="F591" s="90" t="s">
        <v>1392</v>
      </c>
      <c r="G591" s="90" t="b">
        <v>0</v>
      </c>
      <c r="H591" s="90" t="b">
        <v>0</v>
      </c>
      <c r="I591" s="90" t="b">
        <v>0</v>
      </c>
      <c r="J591" s="90" t="b">
        <v>0</v>
      </c>
      <c r="K591" s="90" t="b">
        <v>0</v>
      </c>
      <c r="L591" s="90" t="b">
        <v>0</v>
      </c>
    </row>
    <row r="592" spans="1:12" ht="15">
      <c r="A592" s="87" t="s">
        <v>2026</v>
      </c>
      <c r="B592" s="90" t="s">
        <v>2027</v>
      </c>
      <c r="C592" s="90">
        <v>2</v>
      </c>
      <c r="D592" s="114">
        <v>0</v>
      </c>
      <c r="E592" s="114">
        <v>1.2041199826559248</v>
      </c>
      <c r="F592" s="90" t="s">
        <v>1392</v>
      </c>
      <c r="G592" s="90" t="b">
        <v>0</v>
      </c>
      <c r="H592" s="90" t="b">
        <v>0</v>
      </c>
      <c r="I592" s="90" t="b">
        <v>0</v>
      </c>
      <c r="J592" s="90" t="b">
        <v>0</v>
      </c>
      <c r="K592" s="90" t="b">
        <v>0</v>
      </c>
      <c r="L592" s="90" t="b">
        <v>0</v>
      </c>
    </row>
    <row r="593" spans="1:12" ht="15">
      <c r="A593" s="87" t="s">
        <v>2027</v>
      </c>
      <c r="B593" s="90" t="s">
        <v>2028</v>
      </c>
      <c r="C593" s="90">
        <v>2</v>
      </c>
      <c r="D593" s="114">
        <v>0</v>
      </c>
      <c r="E593" s="114">
        <v>1.2041199826559248</v>
      </c>
      <c r="F593" s="90" t="s">
        <v>1392</v>
      </c>
      <c r="G593" s="90" t="b">
        <v>0</v>
      </c>
      <c r="H593" s="90" t="b">
        <v>0</v>
      </c>
      <c r="I593" s="90" t="b">
        <v>0</v>
      </c>
      <c r="J593" s="90" t="b">
        <v>0</v>
      </c>
      <c r="K593" s="90" t="b">
        <v>0</v>
      </c>
      <c r="L593" s="90" t="b">
        <v>0</v>
      </c>
    </row>
    <row r="594" spans="1:12" ht="15">
      <c r="A594" s="87" t="s">
        <v>2028</v>
      </c>
      <c r="B594" s="90" t="s">
        <v>2029</v>
      </c>
      <c r="C594" s="90">
        <v>2</v>
      </c>
      <c r="D594" s="114">
        <v>0</v>
      </c>
      <c r="E594" s="114">
        <v>1.2041199826559248</v>
      </c>
      <c r="F594" s="90" t="s">
        <v>1392</v>
      </c>
      <c r="G594" s="90" t="b">
        <v>0</v>
      </c>
      <c r="H594" s="90" t="b">
        <v>0</v>
      </c>
      <c r="I594" s="90" t="b">
        <v>0</v>
      </c>
      <c r="J594" s="90" t="b">
        <v>0</v>
      </c>
      <c r="K594" s="90" t="b">
        <v>0</v>
      </c>
      <c r="L594" s="90" t="b">
        <v>0</v>
      </c>
    </row>
    <row r="595" spans="1:12" ht="15">
      <c r="A595" s="87" t="s">
        <v>2029</v>
      </c>
      <c r="B595" s="90" t="s">
        <v>2030</v>
      </c>
      <c r="C595" s="90">
        <v>2</v>
      </c>
      <c r="D595" s="114">
        <v>0</v>
      </c>
      <c r="E595" s="114">
        <v>1.2041199826559248</v>
      </c>
      <c r="F595" s="90" t="s">
        <v>1392</v>
      </c>
      <c r="G595" s="90" t="b">
        <v>0</v>
      </c>
      <c r="H595" s="90" t="b">
        <v>0</v>
      </c>
      <c r="I595" s="90" t="b">
        <v>0</v>
      </c>
      <c r="J595" s="90" t="b">
        <v>0</v>
      </c>
      <c r="K595" s="90" t="b">
        <v>0</v>
      </c>
      <c r="L595" s="90" t="b">
        <v>0</v>
      </c>
    </row>
    <row r="596" spans="1:12" ht="15">
      <c r="A596" s="87" t="s">
        <v>2030</v>
      </c>
      <c r="B596" s="90" t="s">
        <v>2031</v>
      </c>
      <c r="C596" s="90">
        <v>2</v>
      </c>
      <c r="D596" s="114">
        <v>0</v>
      </c>
      <c r="E596" s="114">
        <v>1.2041199826559248</v>
      </c>
      <c r="F596" s="90" t="s">
        <v>1392</v>
      </c>
      <c r="G596" s="90" t="b">
        <v>0</v>
      </c>
      <c r="H596" s="90" t="b">
        <v>0</v>
      </c>
      <c r="I596" s="90" t="b">
        <v>0</v>
      </c>
      <c r="J596" s="90" t="b">
        <v>0</v>
      </c>
      <c r="K596" s="90" t="b">
        <v>0</v>
      </c>
      <c r="L596" s="90" t="b">
        <v>0</v>
      </c>
    </row>
    <row r="597" spans="1:12" ht="15">
      <c r="A597" s="87" t="s">
        <v>2031</v>
      </c>
      <c r="B597" s="90" t="s">
        <v>2032</v>
      </c>
      <c r="C597" s="90">
        <v>2</v>
      </c>
      <c r="D597" s="114">
        <v>0</v>
      </c>
      <c r="E597" s="114">
        <v>1.2041199826559248</v>
      </c>
      <c r="F597" s="90" t="s">
        <v>1392</v>
      </c>
      <c r="G597" s="90" t="b">
        <v>0</v>
      </c>
      <c r="H597" s="90" t="b">
        <v>0</v>
      </c>
      <c r="I597" s="90" t="b">
        <v>0</v>
      </c>
      <c r="J597" s="90" t="b">
        <v>0</v>
      </c>
      <c r="K597" s="90" t="b">
        <v>0</v>
      </c>
      <c r="L597" s="90" t="b">
        <v>0</v>
      </c>
    </row>
    <row r="598" spans="1:12" ht="15">
      <c r="A598" s="87" t="s">
        <v>2032</v>
      </c>
      <c r="B598" s="90" t="s">
        <v>2033</v>
      </c>
      <c r="C598" s="90">
        <v>2</v>
      </c>
      <c r="D598" s="114">
        <v>0</v>
      </c>
      <c r="E598" s="114">
        <v>1.2041199826559248</v>
      </c>
      <c r="F598" s="90" t="s">
        <v>1392</v>
      </c>
      <c r="G598" s="90" t="b">
        <v>0</v>
      </c>
      <c r="H598" s="90" t="b">
        <v>0</v>
      </c>
      <c r="I598" s="90" t="b">
        <v>0</v>
      </c>
      <c r="J598" s="90" t="b">
        <v>0</v>
      </c>
      <c r="K598" s="90" t="b">
        <v>0</v>
      </c>
      <c r="L598" s="90" t="b">
        <v>0</v>
      </c>
    </row>
    <row r="599" spans="1:12" ht="15">
      <c r="A599" s="87" t="s">
        <v>2033</v>
      </c>
      <c r="B599" s="90" t="s">
        <v>2034</v>
      </c>
      <c r="C599" s="90">
        <v>2</v>
      </c>
      <c r="D599" s="114">
        <v>0</v>
      </c>
      <c r="E599" s="114">
        <v>1.2041199826559248</v>
      </c>
      <c r="F599" s="90" t="s">
        <v>1392</v>
      </c>
      <c r="G599" s="90" t="b">
        <v>0</v>
      </c>
      <c r="H599" s="90" t="b">
        <v>0</v>
      </c>
      <c r="I599" s="90" t="b">
        <v>0</v>
      </c>
      <c r="J599" s="90" t="b">
        <v>0</v>
      </c>
      <c r="K599" s="90" t="b">
        <v>0</v>
      </c>
      <c r="L599" s="90" t="b">
        <v>0</v>
      </c>
    </row>
    <row r="600" spans="1:12" ht="15">
      <c r="A600" s="87" t="s">
        <v>2034</v>
      </c>
      <c r="B600" s="90" t="s">
        <v>2035</v>
      </c>
      <c r="C600" s="90">
        <v>2</v>
      </c>
      <c r="D600" s="114">
        <v>0</v>
      </c>
      <c r="E600" s="114">
        <v>1.2041199826559248</v>
      </c>
      <c r="F600" s="90" t="s">
        <v>1392</v>
      </c>
      <c r="G600" s="90" t="b">
        <v>0</v>
      </c>
      <c r="H600" s="90" t="b">
        <v>0</v>
      </c>
      <c r="I600" s="90" t="b">
        <v>0</v>
      </c>
      <c r="J600" s="90" t="b">
        <v>0</v>
      </c>
      <c r="K600" s="90" t="b">
        <v>0</v>
      </c>
      <c r="L600" s="90" t="b">
        <v>0</v>
      </c>
    </row>
    <row r="601" spans="1:12" ht="15">
      <c r="A601" s="87" t="s">
        <v>1495</v>
      </c>
      <c r="B601" s="90" t="s">
        <v>1496</v>
      </c>
      <c r="C601" s="90">
        <v>2</v>
      </c>
      <c r="D601" s="114">
        <v>0</v>
      </c>
      <c r="E601" s="114">
        <v>1.3324384599156054</v>
      </c>
      <c r="F601" s="90" t="s">
        <v>1394</v>
      </c>
      <c r="G601" s="90" t="b">
        <v>0</v>
      </c>
      <c r="H601" s="90" t="b">
        <v>0</v>
      </c>
      <c r="I601" s="90" t="b">
        <v>0</v>
      </c>
      <c r="J601" s="90" t="b">
        <v>0</v>
      </c>
      <c r="K601" s="90" t="b">
        <v>0</v>
      </c>
      <c r="L601" s="90" t="b">
        <v>0</v>
      </c>
    </row>
    <row r="602" spans="1:12" ht="15">
      <c r="A602" s="87" t="s">
        <v>2046</v>
      </c>
      <c r="B602" s="90" t="s">
        <v>2047</v>
      </c>
      <c r="C602" s="90">
        <v>2</v>
      </c>
      <c r="D602" s="114">
        <v>0</v>
      </c>
      <c r="E602" s="114">
        <v>1.2041199826559248</v>
      </c>
      <c r="F602" s="90" t="s">
        <v>1395</v>
      </c>
      <c r="G602" s="90" t="b">
        <v>0</v>
      </c>
      <c r="H602" s="90" t="b">
        <v>0</v>
      </c>
      <c r="I602" s="90" t="b">
        <v>0</v>
      </c>
      <c r="J602" s="90" t="b">
        <v>0</v>
      </c>
      <c r="K602" s="90" t="b">
        <v>0</v>
      </c>
      <c r="L602" s="90" t="b">
        <v>0</v>
      </c>
    </row>
    <row r="603" spans="1:12" ht="15">
      <c r="A603" s="87" t="s">
        <v>2047</v>
      </c>
      <c r="B603" s="90" t="s">
        <v>2048</v>
      </c>
      <c r="C603" s="90">
        <v>2</v>
      </c>
      <c r="D603" s="114">
        <v>0</v>
      </c>
      <c r="E603" s="114">
        <v>1.2041199826559248</v>
      </c>
      <c r="F603" s="90" t="s">
        <v>1395</v>
      </c>
      <c r="G603" s="90" t="b">
        <v>0</v>
      </c>
      <c r="H603" s="90" t="b">
        <v>0</v>
      </c>
      <c r="I603" s="90" t="b">
        <v>0</v>
      </c>
      <c r="J603" s="90" t="b">
        <v>0</v>
      </c>
      <c r="K603" s="90" t="b">
        <v>0</v>
      </c>
      <c r="L603" s="90" t="b">
        <v>0</v>
      </c>
    </row>
    <row r="604" spans="1:12" ht="15">
      <c r="A604" s="87" t="s">
        <v>2048</v>
      </c>
      <c r="B604" s="90" t="s">
        <v>1496</v>
      </c>
      <c r="C604" s="90">
        <v>2</v>
      </c>
      <c r="D604" s="114">
        <v>0</v>
      </c>
      <c r="E604" s="114">
        <v>1.2041199826559248</v>
      </c>
      <c r="F604" s="90" t="s">
        <v>1395</v>
      </c>
      <c r="G604" s="90" t="b">
        <v>0</v>
      </c>
      <c r="H604" s="90" t="b">
        <v>0</v>
      </c>
      <c r="I604" s="90" t="b">
        <v>0</v>
      </c>
      <c r="J604" s="90" t="b">
        <v>0</v>
      </c>
      <c r="K604" s="90" t="b">
        <v>0</v>
      </c>
      <c r="L604" s="90" t="b">
        <v>0</v>
      </c>
    </row>
    <row r="605" spans="1:12" ht="15">
      <c r="A605" s="87" t="s">
        <v>1496</v>
      </c>
      <c r="B605" s="90" t="s">
        <v>2049</v>
      </c>
      <c r="C605" s="90">
        <v>2</v>
      </c>
      <c r="D605" s="114">
        <v>0</v>
      </c>
      <c r="E605" s="114">
        <v>1.2041199826559248</v>
      </c>
      <c r="F605" s="90" t="s">
        <v>1395</v>
      </c>
      <c r="G605" s="90" t="b">
        <v>0</v>
      </c>
      <c r="H605" s="90" t="b">
        <v>0</v>
      </c>
      <c r="I605" s="90" t="b">
        <v>0</v>
      </c>
      <c r="J605" s="90" t="b">
        <v>0</v>
      </c>
      <c r="K605" s="90" t="b">
        <v>0</v>
      </c>
      <c r="L605" s="90" t="b">
        <v>0</v>
      </c>
    </row>
    <row r="606" spans="1:12" ht="15">
      <c r="A606" s="87" t="s">
        <v>2049</v>
      </c>
      <c r="B606" s="90" t="s">
        <v>2050</v>
      </c>
      <c r="C606" s="90">
        <v>2</v>
      </c>
      <c r="D606" s="114">
        <v>0</v>
      </c>
      <c r="E606" s="114">
        <v>1.2041199826559248</v>
      </c>
      <c r="F606" s="90" t="s">
        <v>1395</v>
      </c>
      <c r="G606" s="90" t="b">
        <v>0</v>
      </c>
      <c r="H606" s="90" t="b">
        <v>0</v>
      </c>
      <c r="I606" s="90" t="b">
        <v>0</v>
      </c>
      <c r="J606" s="90" t="b">
        <v>0</v>
      </c>
      <c r="K606" s="90" t="b">
        <v>0</v>
      </c>
      <c r="L606" s="90" t="b">
        <v>0</v>
      </c>
    </row>
    <row r="607" spans="1:12" ht="15">
      <c r="A607" s="87" t="s">
        <v>2050</v>
      </c>
      <c r="B607" s="90" t="s">
        <v>2051</v>
      </c>
      <c r="C607" s="90">
        <v>2</v>
      </c>
      <c r="D607" s="114">
        <v>0</v>
      </c>
      <c r="E607" s="114">
        <v>1.2041199826559248</v>
      </c>
      <c r="F607" s="90" t="s">
        <v>1395</v>
      </c>
      <c r="G607" s="90" t="b">
        <v>0</v>
      </c>
      <c r="H607" s="90" t="b">
        <v>0</v>
      </c>
      <c r="I607" s="90" t="b">
        <v>0</v>
      </c>
      <c r="J607" s="90" t="b">
        <v>0</v>
      </c>
      <c r="K607" s="90" t="b">
        <v>0</v>
      </c>
      <c r="L607" s="90" t="b">
        <v>0</v>
      </c>
    </row>
    <row r="608" spans="1:12" ht="15">
      <c r="A608" s="87" t="s">
        <v>2051</v>
      </c>
      <c r="B608" s="90" t="s">
        <v>2052</v>
      </c>
      <c r="C608" s="90">
        <v>2</v>
      </c>
      <c r="D608" s="114">
        <v>0</v>
      </c>
      <c r="E608" s="114">
        <v>1.2041199826559248</v>
      </c>
      <c r="F608" s="90" t="s">
        <v>1395</v>
      </c>
      <c r="G608" s="90" t="b">
        <v>0</v>
      </c>
      <c r="H608" s="90" t="b">
        <v>0</v>
      </c>
      <c r="I608" s="90" t="b">
        <v>0</v>
      </c>
      <c r="J608" s="90" t="b">
        <v>0</v>
      </c>
      <c r="K608" s="90" t="b">
        <v>0</v>
      </c>
      <c r="L608" s="90" t="b">
        <v>0</v>
      </c>
    </row>
    <row r="609" spans="1:12" ht="15">
      <c r="A609" s="87" t="s">
        <v>2052</v>
      </c>
      <c r="B609" s="90" t="s">
        <v>2053</v>
      </c>
      <c r="C609" s="90">
        <v>2</v>
      </c>
      <c r="D609" s="114">
        <v>0</v>
      </c>
      <c r="E609" s="114">
        <v>1.2041199826559248</v>
      </c>
      <c r="F609" s="90" t="s">
        <v>1395</v>
      </c>
      <c r="G609" s="90" t="b">
        <v>0</v>
      </c>
      <c r="H609" s="90" t="b">
        <v>0</v>
      </c>
      <c r="I609" s="90" t="b">
        <v>0</v>
      </c>
      <c r="J609" s="90" t="b">
        <v>0</v>
      </c>
      <c r="K609" s="90" t="b">
        <v>0</v>
      </c>
      <c r="L609" s="90" t="b">
        <v>0</v>
      </c>
    </row>
    <row r="610" spans="1:12" ht="15">
      <c r="A610" s="87" t="s">
        <v>2053</v>
      </c>
      <c r="B610" s="90" t="s">
        <v>2054</v>
      </c>
      <c r="C610" s="90">
        <v>2</v>
      </c>
      <c r="D610" s="114">
        <v>0</v>
      </c>
      <c r="E610" s="114">
        <v>1.2041199826559248</v>
      </c>
      <c r="F610" s="90" t="s">
        <v>1395</v>
      </c>
      <c r="G610" s="90" t="b">
        <v>0</v>
      </c>
      <c r="H610" s="90" t="b">
        <v>0</v>
      </c>
      <c r="I610" s="90" t="b">
        <v>0</v>
      </c>
      <c r="J610" s="90" t="b">
        <v>0</v>
      </c>
      <c r="K610" s="90" t="b">
        <v>0</v>
      </c>
      <c r="L610" s="90" t="b">
        <v>0</v>
      </c>
    </row>
    <row r="611" spans="1:12" ht="15">
      <c r="A611" s="87" t="s">
        <v>2054</v>
      </c>
      <c r="B611" s="90" t="s">
        <v>2055</v>
      </c>
      <c r="C611" s="90">
        <v>2</v>
      </c>
      <c r="D611" s="114">
        <v>0</v>
      </c>
      <c r="E611" s="114">
        <v>1.2041199826559248</v>
      </c>
      <c r="F611" s="90" t="s">
        <v>1395</v>
      </c>
      <c r="G611" s="90" t="b">
        <v>0</v>
      </c>
      <c r="H611" s="90" t="b">
        <v>0</v>
      </c>
      <c r="I611" s="90" t="b">
        <v>0</v>
      </c>
      <c r="J611" s="90" t="b">
        <v>0</v>
      </c>
      <c r="K611" s="90" t="b">
        <v>0</v>
      </c>
      <c r="L611" s="90" t="b">
        <v>0</v>
      </c>
    </row>
    <row r="612" spans="1:12" ht="15">
      <c r="A612" s="87" t="s">
        <v>2055</v>
      </c>
      <c r="B612" s="90" t="s">
        <v>2056</v>
      </c>
      <c r="C612" s="90">
        <v>2</v>
      </c>
      <c r="D612" s="114">
        <v>0</v>
      </c>
      <c r="E612" s="114">
        <v>1.2041199826559248</v>
      </c>
      <c r="F612" s="90" t="s">
        <v>1395</v>
      </c>
      <c r="G612" s="90" t="b">
        <v>0</v>
      </c>
      <c r="H612" s="90" t="b">
        <v>0</v>
      </c>
      <c r="I612" s="90" t="b">
        <v>0</v>
      </c>
      <c r="J612" s="90" t="b">
        <v>0</v>
      </c>
      <c r="K612" s="90" t="b">
        <v>0</v>
      </c>
      <c r="L612" s="90" t="b">
        <v>0</v>
      </c>
    </row>
    <row r="613" spans="1:12" ht="15">
      <c r="A613" s="87" t="s">
        <v>2056</v>
      </c>
      <c r="B613" s="90" t="s">
        <v>2057</v>
      </c>
      <c r="C613" s="90">
        <v>2</v>
      </c>
      <c r="D613" s="114">
        <v>0</v>
      </c>
      <c r="E613" s="114">
        <v>1.2041199826559248</v>
      </c>
      <c r="F613" s="90" t="s">
        <v>1395</v>
      </c>
      <c r="G613" s="90" t="b">
        <v>0</v>
      </c>
      <c r="H613" s="90" t="b">
        <v>0</v>
      </c>
      <c r="I613" s="90" t="b">
        <v>0</v>
      </c>
      <c r="J613" s="90" t="b">
        <v>0</v>
      </c>
      <c r="K613" s="90" t="b">
        <v>0</v>
      </c>
      <c r="L613" s="90" t="b">
        <v>0</v>
      </c>
    </row>
    <row r="614" spans="1:12" ht="15">
      <c r="A614" s="87" t="s">
        <v>2057</v>
      </c>
      <c r="B614" s="90" t="s">
        <v>2058</v>
      </c>
      <c r="C614" s="90">
        <v>2</v>
      </c>
      <c r="D614" s="114">
        <v>0</v>
      </c>
      <c r="E614" s="114">
        <v>1.2041199826559248</v>
      </c>
      <c r="F614" s="90" t="s">
        <v>1395</v>
      </c>
      <c r="G614" s="90" t="b">
        <v>0</v>
      </c>
      <c r="H614" s="90" t="b">
        <v>0</v>
      </c>
      <c r="I614" s="90" t="b">
        <v>0</v>
      </c>
      <c r="J614" s="90" t="b">
        <v>0</v>
      </c>
      <c r="K614" s="90" t="b">
        <v>0</v>
      </c>
      <c r="L614" s="90" t="b">
        <v>0</v>
      </c>
    </row>
    <row r="615" spans="1:12" ht="15">
      <c r="A615" s="87" t="s">
        <v>2058</v>
      </c>
      <c r="B615" s="90" t="s">
        <v>2059</v>
      </c>
      <c r="C615" s="90">
        <v>2</v>
      </c>
      <c r="D615" s="114">
        <v>0</v>
      </c>
      <c r="E615" s="114">
        <v>1.2041199826559248</v>
      </c>
      <c r="F615" s="90" t="s">
        <v>1395</v>
      </c>
      <c r="G615" s="90" t="b">
        <v>0</v>
      </c>
      <c r="H615" s="90" t="b">
        <v>0</v>
      </c>
      <c r="I615" s="90" t="b">
        <v>0</v>
      </c>
      <c r="J615" s="90" t="b">
        <v>0</v>
      </c>
      <c r="K615" s="90" t="b">
        <v>0</v>
      </c>
      <c r="L615" s="90" t="b">
        <v>0</v>
      </c>
    </row>
    <row r="616" spans="1:12" ht="15">
      <c r="A616" s="87" t="s">
        <v>2059</v>
      </c>
      <c r="B616" s="90" t="s">
        <v>2060</v>
      </c>
      <c r="C616" s="90">
        <v>2</v>
      </c>
      <c r="D616" s="114">
        <v>0</v>
      </c>
      <c r="E616" s="114">
        <v>1.2041199826559248</v>
      </c>
      <c r="F616" s="90" t="s">
        <v>1395</v>
      </c>
      <c r="G616" s="90" t="b">
        <v>0</v>
      </c>
      <c r="H616" s="90" t="b">
        <v>0</v>
      </c>
      <c r="I616" s="90" t="b">
        <v>0</v>
      </c>
      <c r="J616" s="90" t="b">
        <v>0</v>
      </c>
      <c r="K616" s="90" t="b">
        <v>0</v>
      </c>
      <c r="L616" s="90" t="b">
        <v>0</v>
      </c>
    </row>
    <row r="617" spans="1:12" ht="15">
      <c r="A617" s="87" t="s">
        <v>2060</v>
      </c>
      <c r="B617" s="90" t="s">
        <v>2061</v>
      </c>
      <c r="C617" s="90">
        <v>2</v>
      </c>
      <c r="D617" s="114">
        <v>0</v>
      </c>
      <c r="E617" s="114">
        <v>1.2041199826559248</v>
      </c>
      <c r="F617" s="90" t="s">
        <v>1395</v>
      </c>
      <c r="G617" s="90" t="b">
        <v>0</v>
      </c>
      <c r="H617" s="90" t="b">
        <v>0</v>
      </c>
      <c r="I617" s="90" t="b">
        <v>0</v>
      </c>
      <c r="J617" s="90" t="b">
        <v>0</v>
      </c>
      <c r="K617" s="90" t="b">
        <v>0</v>
      </c>
      <c r="L617" s="90" t="b">
        <v>0</v>
      </c>
    </row>
    <row r="618" spans="1:12" ht="15">
      <c r="A618" s="87" t="s">
        <v>1495</v>
      </c>
      <c r="B618" s="90" t="s">
        <v>1496</v>
      </c>
      <c r="C618" s="90">
        <v>3</v>
      </c>
      <c r="D618" s="114">
        <v>0</v>
      </c>
      <c r="E618" s="114">
        <v>1.3862016054007935</v>
      </c>
      <c r="F618" s="90" t="s">
        <v>1396</v>
      </c>
      <c r="G618" s="90" t="b">
        <v>0</v>
      </c>
      <c r="H618" s="90" t="b">
        <v>0</v>
      </c>
      <c r="I618" s="90" t="b">
        <v>0</v>
      </c>
      <c r="J618" s="90" t="b">
        <v>0</v>
      </c>
      <c r="K618" s="90" t="b">
        <v>0</v>
      </c>
      <c r="L618" s="90" t="b">
        <v>0</v>
      </c>
    </row>
    <row r="619" spans="1:12" ht="15">
      <c r="A619" s="87" t="s">
        <v>1881</v>
      </c>
      <c r="B619" s="90" t="s">
        <v>1927</v>
      </c>
      <c r="C619" s="90">
        <v>3</v>
      </c>
      <c r="D619" s="114">
        <v>0</v>
      </c>
      <c r="E619" s="114">
        <v>1.3862016054007935</v>
      </c>
      <c r="F619" s="90" t="s">
        <v>1396</v>
      </c>
      <c r="G619" s="90" t="b">
        <v>0</v>
      </c>
      <c r="H619" s="90" t="b">
        <v>0</v>
      </c>
      <c r="I619" s="90" t="b">
        <v>0</v>
      </c>
      <c r="J619" s="90" t="b">
        <v>0</v>
      </c>
      <c r="K619" s="90" t="b">
        <v>0</v>
      </c>
      <c r="L619" s="90" t="b">
        <v>0</v>
      </c>
    </row>
    <row r="620" spans="1:12" ht="15">
      <c r="A620" s="87" t="s">
        <v>1496</v>
      </c>
      <c r="B620" s="90" t="s">
        <v>1920</v>
      </c>
      <c r="C620" s="90">
        <v>2</v>
      </c>
      <c r="D620" s="114">
        <v>0.004633980501465296</v>
      </c>
      <c r="E620" s="114">
        <v>1.3862016054007935</v>
      </c>
      <c r="F620" s="90" t="s">
        <v>1396</v>
      </c>
      <c r="G620" s="90" t="b">
        <v>0</v>
      </c>
      <c r="H620" s="90" t="b">
        <v>0</v>
      </c>
      <c r="I620" s="90" t="b">
        <v>0</v>
      </c>
      <c r="J620" s="90" t="b">
        <v>0</v>
      </c>
      <c r="K620" s="90" t="b">
        <v>0</v>
      </c>
      <c r="L620" s="90" t="b">
        <v>0</v>
      </c>
    </row>
    <row r="621" spans="1:12" ht="15">
      <c r="A621" s="87" t="s">
        <v>1920</v>
      </c>
      <c r="B621" s="90" t="s">
        <v>1881</v>
      </c>
      <c r="C621" s="90">
        <v>2</v>
      </c>
      <c r="D621" s="114">
        <v>0.004633980501465296</v>
      </c>
      <c r="E621" s="114">
        <v>1.3862016054007935</v>
      </c>
      <c r="F621" s="90" t="s">
        <v>1396</v>
      </c>
      <c r="G621" s="90" t="b">
        <v>0</v>
      </c>
      <c r="H621" s="90" t="b">
        <v>0</v>
      </c>
      <c r="I621" s="90" t="b">
        <v>0</v>
      </c>
      <c r="J621" s="90" t="b">
        <v>0</v>
      </c>
      <c r="K621" s="90" t="b">
        <v>0</v>
      </c>
      <c r="L621" s="90" t="b">
        <v>0</v>
      </c>
    </row>
    <row r="622" spans="1:12" ht="15">
      <c r="A622" s="87" t="s">
        <v>1927</v>
      </c>
      <c r="B622" s="90" t="s">
        <v>1926</v>
      </c>
      <c r="C622" s="90">
        <v>2</v>
      </c>
      <c r="D622" s="114">
        <v>0.004633980501465296</v>
      </c>
      <c r="E622" s="114">
        <v>1.3862016054007935</v>
      </c>
      <c r="F622" s="90" t="s">
        <v>1396</v>
      </c>
      <c r="G622" s="90" t="b">
        <v>0</v>
      </c>
      <c r="H622" s="90" t="b">
        <v>0</v>
      </c>
      <c r="I622" s="90" t="b">
        <v>0</v>
      </c>
      <c r="J622" s="90" t="b">
        <v>0</v>
      </c>
      <c r="K622" s="90" t="b">
        <v>0</v>
      </c>
      <c r="L622" s="90" t="b">
        <v>0</v>
      </c>
    </row>
    <row r="623" spans="1:12" ht="15">
      <c r="A623" s="87" t="s">
        <v>1926</v>
      </c>
      <c r="B623" s="90" t="s">
        <v>1919</v>
      </c>
      <c r="C623" s="90">
        <v>2</v>
      </c>
      <c r="D623" s="114">
        <v>0.004633980501465296</v>
      </c>
      <c r="E623" s="114">
        <v>1.5622928644564746</v>
      </c>
      <c r="F623" s="90" t="s">
        <v>1396</v>
      </c>
      <c r="G623" s="90" t="b">
        <v>0</v>
      </c>
      <c r="H623" s="90" t="b">
        <v>0</v>
      </c>
      <c r="I623" s="90" t="b">
        <v>0</v>
      </c>
      <c r="J623" s="90" t="b">
        <v>0</v>
      </c>
      <c r="K623" s="90" t="b">
        <v>0</v>
      </c>
      <c r="L623" s="90" t="b">
        <v>0</v>
      </c>
    </row>
    <row r="624" spans="1:12" ht="15">
      <c r="A624" s="87" t="s">
        <v>1919</v>
      </c>
      <c r="B624" s="90" t="s">
        <v>1883</v>
      </c>
      <c r="C624" s="90">
        <v>2</v>
      </c>
      <c r="D624" s="114">
        <v>0.004633980501465296</v>
      </c>
      <c r="E624" s="114">
        <v>1.5622928644564746</v>
      </c>
      <c r="F624" s="90" t="s">
        <v>1396</v>
      </c>
      <c r="G624" s="90" t="b">
        <v>0</v>
      </c>
      <c r="H624" s="90" t="b">
        <v>0</v>
      </c>
      <c r="I624" s="90" t="b">
        <v>0</v>
      </c>
      <c r="J624" s="90" t="b">
        <v>0</v>
      </c>
      <c r="K624" s="90" t="b">
        <v>0</v>
      </c>
      <c r="L624" s="90" t="b">
        <v>0</v>
      </c>
    </row>
    <row r="625" spans="1:12" ht="15">
      <c r="A625" s="87" t="s">
        <v>1883</v>
      </c>
      <c r="B625" s="90" t="s">
        <v>1928</v>
      </c>
      <c r="C625" s="90">
        <v>2</v>
      </c>
      <c r="D625" s="114">
        <v>0.004633980501465296</v>
      </c>
      <c r="E625" s="114">
        <v>1.3862016054007935</v>
      </c>
      <c r="F625" s="90" t="s">
        <v>1396</v>
      </c>
      <c r="G625" s="90" t="b">
        <v>0</v>
      </c>
      <c r="H625" s="90" t="b">
        <v>0</v>
      </c>
      <c r="I625" s="90" t="b">
        <v>0</v>
      </c>
      <c r="J625" s="90" t="b">
        <v>0</v>
      </c>
      <c r="K625" s="90" t="b">
        <v>0</v>
      </c>
      <c r="L625" s="90" t="b">
        <v>0</v>
      </c>
    </row>
    <row r="626" spans="1:12" ht="15">
      <c r="A626" s="87" t="s">
        <v>1928</v>
      </c>
      <c r="B626" s="90" t="s">
        <v>1912</v>
      </c>
      <c r="C626" s="90">
        <v>2</v>
      </c>
      <c r="D626" s="114">
        <v>0.004633980501465296</v>
      </c>
      <c r="E626" s="114">
        <v>1.3862016054007935</v>
      </c>
      <c r="F626" s="90" t="s">
        <v>1396</v>
      </c>
      <c r="G626" s="90" t="b">
        <v>0</v>
      </c>
      <c r="H626" s="90" t="b">
        <v>0</v>
      </c>
      <c r="I626" s="90" t="b">
        <v>0</v>
      </c>
      <c r="J626" s="90" t="b">
        <v>0</v>
      </c>
      <c r="K626" s="90" t="b">
        <v>0</v>
      </c>
      <c r="L626" s="90" t="b">
        <v>0</v>
      </c>
    </row>
    <row r="627" spans="1:12" ht="15">
      <c r="A627" s="87" t="s">
        <v>1912</v>
      </c>
      <c r="B627" s="90" t="s">
        <v>2063</v>
      </c>
      <c r="C627" s="90">
        <v>2</v>
      </c>
      <c r="D627" s="114">
        <v>0.004633980501465296</v>
      </c>
      <c r="E627" s="114">
        <v>1.5622928644564746</v>
      </c>
      <c r="F627" s="90" t="s">
        <v>1396</v>
      </c>
      <c r="G627" s="90" t="b">
        <v>0</v>
      </c>
      <c r="H627" s="90" t="b">
        <v>0</v>
      </c>
      <c r="I627" s="90" t="b">
        <v>0</v>
      </c>
      <c r="J627" s="90" t="b">
        <v>0</v>
      </c>
      <c r="K627" s="90" t="b">
        <v>0</v>
      </c>
      <c r="L627" s="90" t="b">
        <v>0</v>
      </c>
    </row>
    <row r="628" spans="1:12" ht="15">
      <c r="A628" s="87" t="s">
        <v>2063</v>
      </c>
      <c r="B628" s="90" t="s">
        <v>2064</v>
      </c>
      <c r="C628" s="90">
        <v>2</v>
      </c>
      <c r="D628" s="114">
        <v>0.004633980501465296</v>
      </c>
      <c r="E628" s="114">
        <v>1.5622928644564746</v>
      </c>
      <c r="F628" s="90" t="s">
        <v>1396</v>
      </c>
      <c r="G628" s="90" t="b">
        <v>0</v>
      </c>
      <c r="H628" s="90" t="b">
        <v>0</v>
      </c>
      <c r="I628" s="90" t="b">
        <v>0</v>
      </c>
      <c r="J628" s="90" t="b">
        <v>0</v>
      </c>
      <c r="K628" s="90" t="b">
        <v>0</v>
      </c>
      <c r="L628" s="90" t="b">
        <v>0</v>
      </c>
    </row>
    <row r="629" spans="1:12" ht="15">
      <c r="A629" s="87" t="s">
        <v>2064</v>
      </c>
      <c r="B629" s="90" t="s">
        <v>2065</v>
      </c>
      <c r="C629" s="90">
        <v>2</v>
      </c>
      <c r="D629" s="114">
        <v>0.004633980501465296</v>
      </c>
      <c r="E629" s="114">
        <v>1.5622928644564746</v>
      </c>
      <c r="F629" s="90" t="s">
        <v>1396</v>
      </c>
      <c r="G629" s="90" t="b">
        <v>0</v>
      </c>
      <c r="H629" s="90" t="b">
        <v>0</v>
      </c>
      <c r="I629" s="90" t="b">
        <v>0</v>
      </c>
      <c r="J629" s="90" t="b">
        <v>0</v>
      </c>
      <c r="K629" s="90" t="b">
        <v>1</v>
      </c>
      <c r="L629" s="90" t="b">
        <v>0</v>
      </c>
    </row>
    <row r="630" spans="1:12" ht="15">
      <c r="A630" s="87" t="s">
        <v>2065</v>
      </c>
      <c r="B630" s="90" t="s">
        <v>1817</v>
      </c>
      <c r="C630" s="90">
        <v>2</v>
      </c>
      <c r="D630" s="114">
        <v>0.004633980501465296</v>
      </c>
      <c r="E630" s="114">
        <v>1.5622928644564746</v>
      </c>
      <c r="F630" s="90" t="s">
        <v>1396</v>
      </c>
      <c r="G630" s="90" t="b">
        <v>0</v>
      </c>
      <c r="H630" s="90" t="b">
        <v>1</v>
      </c>
      <c r="I630" s="90" t="b">
        <v>0</v>
      </c>
      <c r="J630" s="90" t="b">
        <v>0</v>
      </c>
      <c r="K630" s="90" t="b">
        <v>0</v>
      </c>
      <c r="L630" s="90" t="b">
        <v>0</v>
      </c>
    </row>
    <row r="631" spans="1:12" ht="15">
      <c r="A631" s="87" t="s">
        <v>1817</v>
      </c>
      <c r="B631" s="90" t="s">
        <v>1929</v>
      </c>
      <c r="C631" s="90">
        <v>2</v>
      </c>
      <c r="D631" s="114">
        <v>0.004633980501465296</v>
      </c>
      <c r="E631" s="114">
        <v>1.3862016054007935</v>
      </c>
      <c r="F631" s="90" t="s">
        <v>1396</v>
      </c>
      <c r="G631" s="90" t="b">
        <v>0</v>
      </c>
      <c r="H631" s="90" t="b">
        <v>0</v>
      </c>
      <c r="I631" s="90" t="b">
        <v>0</v>
      </c>
      <c r="J631" s="90" t="b">
        <v>0</v>
      </c>
      <c r="K631" s="90" t="b">
        <v>0</v>
      </c>
      <c r="L631" s="90" t="b">
        <v>0</v>
      </c>
    </row>
    <row r="632" spans="1:12" ht="15">
      <c r="A632" s="87" t="s">
        <v>1929</v>
      </c>
      <c r="B632" s="90" t="s">
        <v>2066</v>
      </c>
      <c r="C632" s="90">
        <v>2</v>
      </c>
      <c r="D632" s="114">
        <v>0.004633980501465296</v>
      </c>
      <c r="E632" s="114">
        <v>1.3862016054007935</v>
      </c>
      <c r="F632" s="90" t="s">
        <v>1396</v>
      </c>
      <c r="G632" s="90" t="b">
        <v>0</v>
      </c>
      <c r="H632" s="90" t="b">
        <v>0</v>
      </c>
      <c r="I632" s="90" t="b">
        <v>0</v>
      </c>
      <c r="J632" s="90" t="b">
        <v>0</v>
      </c>
      <c r="K632" s="90" t="b">
        <v>0</v>
      </c>
      <c r="L632" s="90" t="b">
        <v>0</v>
      </c>
    </row>
    <row r="633" spans="1:12" ht="15">
      <c r="A633" s="87" t="s">
        <v>2066</v>
      </c>
      <c r="B633" s="90" t="s">
        <v>2067</v>
      </c>
      <c r="C633" s="90">
        <v>2</v>
      </c>
      <c r="D633" s="114">
        <v>0.004633980501465296</v>
      </c>
      <c r="E633" s="114">
        <v>1.5622928644564746</v>
      </c>
      <c r="F633" s="90" t="s">
        <v>1396</v>
      </c>
      <c r="G633" s="90" t="b">
        <v>0</v>
      </c>
      <c r="H633" s="90" t="b">
        <v>0</v>
      </c>
      <c r="I633" s="90" t="b">
        <v>0</v>
      </c>
      <c r="J633" s="90" t="b">
        <v>0</v>
      </c>
      <c r="K633" s="90" t="b">
        <v>0</v>
      </c>
      <c r="L633" s="90" t="b">
        <v>0</v>
      </c>
    </row>
    <row r="634" spans="1:12" ht="15">
      <c r="A634" s="87" t="s">
        <v>2067</v>
      </c>
      <c r="B634" s="90" t="s">
        <v>2068</v>
      </c>
      <c r="C634" s="90">
        <v>2</v>
      </c>
      <c r="D634" s="114">
        <v>0.004633980501465296</v>
      </c>
      <c r="E634" s="114">
        <v>1.5622928644564746</v>
      </c>
      <c r="F634" s="90" t="s">
        <v>1396</v>
      </c>
      <c r="G634" s="90" t="b">
        <v>0</v>
      </c>
      <c r="H634" s="90" t="b">
        <v>0</v>
      </c>
      <c r="I634" s="90" t="b">
        <v>0</v>
      </c>
      <c r="J634" s="90" t="b">
        <v>0</v>
      </c>
      <c r="K634" s="90" t="b">
        <v>0</v>
      </c>
      <c r="L634" s="90" t="b">
        <v>0</v>
      </c>
    </row>
    <row r="635" spans="1:12" ht="15">
      <c r="A635" s="87" t="s">
        <v>2068</v>
      </c>
      <c r="B635" s="90" t="s">
        <v>2069</v>
      </c>
      <c r="C635" s="90">
        <v>2</v>
      </c>
      <c r="D635" s="114">
        <v>0.004633980501465296</v>
      </c>
      <c r="E635" s="114">
        <v>1.5622928644564746</v>
      </c>
      <c r="F635" s="90" t="s">
        <v>1396</v>
      </c>
      <c r="G635" s="90" t="b">
        <v>0</v>
      </c>
      <c r="H635" s="90" t="b">
        <v>0</v>
      </c>
      <c r="I635" s="90" t="b">
        <v>0</v>
      </c>
      <c r="J635" s="90" t="b">
        <v>0</v>
      </c>
      <c r="K635" s="90" t="b">
        <v>0</v>
      </c>
      <c r="L635" s="90" t="b">
        <v>0</v>
      </c>
    </row>
    <row r="636" spans="1:12" ht="15">
      <c r="A636" s="87" t="s">
        <v>2069</v>
      </c>
      <c r="B636" s="90" t="s">
        <v>2070</v>
      </c>
      <c r="C636" s="90">
        <v>2</v>
      </c>
      <c r="D636" s="114">
        <v>0.004633980501465296</v>
      </c>
      <c r="E636" s="114">
        <v>1.5622928644564746</v>
      </c>
      <c r="F636" s="90" t="s">
        <v>1396</v>
      </c>
      <c r="G636" s="90" t="b">
        <v>0</v>
      </c>
      <c r="H636" s="90" t="b">
        <v>0</v>
      </c>
      <c r="I636" s="90" t="b">
        <v>0</v>
      </c>
      <c r="J636" s="90" t="b">
        <v>0</v>
      </c>
      <c r="K636" s="90" t="b">
        <v>0</v>
      </c>
      <c r="L636" s="90" t="b">
        <v>0</v>
      </c>
    </row>
    <row r="637" spans="1:12" ht="15">
      <c r="A637" s="87" t="s">
        <v>2070</v>
      </c>
      <c r="B637" s="90" t="s">
        <v>1884</v>
      </c>
      <c r="C637" s="90">
        <v>2</v>
      </c>
      <c r="D637" s="114">
        <v>0.004633980501465296</v>
      </c>
      <c r="E637" s="114">
        <v>1.2612628687924936</v>
      </c>
      <c r="F637" s="90" t="s">
        <v>1396</v>
      </c>
      <c r="G637" s="90" t="b">
        <v>0</v>
      </c>
      <c r="H637" s="90" t="b">
        <v>0</v>
      </c>
      <c r="I637" s="90" t="b">
        <v>0</v>
      </c>
      <c r="J637" s="90" t="b">
        <v>0</v>
      </c>
      <c r="K637" s="90" t="b">
        <v>0</v>
      </c>
      <c r="L637" s="90" t="b">
        <v>0</v>
      </c>
    </row>
    <row r="638" spans="1:12" ht="15">
      <c r="A638" s="87" t="s">
        <v>1884</v>
      </c>
      <c r="B638" s="90" t="s">
        <v>2071</v>
      </c>
      <c r="C638" s="90">
        <v>2</v>
      </c>
      <c r="D638" s="114">
        <v>0.004633980501465296</v>
      </c>
      <c r="E638" s="114">
        <v>1.2612628687924936</v>
      </c>
      <c r="F638" s="90" t="s">
        <v>1396</v>
      </c>
      <c r="G638" s="90" t="b">
        <v>0</v>
      </c>
      <c r="H638" s="90" t="b">
        <v>0</v>
      </c>
      <c r="I638" s="90" t="b">
        <v>0</v>
      </c>
      <c r="J638" s="90" t="b">
        <v>0</v>
      </c>
      <c r="K638" s="90" t="b">
        <v>0</v>
      </c>
      <c r="L638" s="90" t="b">
        <v>0</v>
      </c>
    </row>
    <row r="639" spans="1:12" ht="15">
      <c r="A639" s="87" t="s">
        <v>2071</v>
      </c>
      <c r="B639" s="90" t="s">
        <v>2072</v>
      </c>
      <c r="C639" s="90">
        <v>2</v>
      </c>
      <c r="D639" s="114">
        <v>0.004633980501465296</v>
      </c>
      <c r="E639" s="114">
        <v>1.5622928644564746</v>
      </c>
      <c r="F639" s="90" t="s">
        <v>1396</v>
      </c>
      <c r="G639" s="90" t="b">
        <v>0</v>
      </c>
      <c r="H639" s="90" t="b">
        <v>0</v>
      </c>
      <c r="I639" s="90" t="b">
        <v>0</v>
      </c>
      <c r="J639" s="90" t="b">
        <v>0</v>
      </c>
      <c r="K639" s="90" t="b">
        <v>0</v>
      </c>
      <c r="L639" s="90" t="b">
        <v>0</v>
      </c>
    </row>
    <row r="640" spans="1:12" ht="15">
      <c r="A640" s="87" t="s">
        <v>2072</v>
      </c>
      <c r="B640" s="90" t="s">
        <v>2073</v>
      </c>
      <c r="C640" s="90">
        <v>2</v>
      </c>
      <c r="D640" s="114">
        <v>0.004633980501465296</v>
      </c>
      <c r="E640" s="114">
        <v>1.5622928644564746</v>
      </c>
      <c r="F640" s="90" t="s">
        <v>1396</v>
      </c>
      <c r="G640" s="90" t="b">
        <v>0</v>
      </c>
      <c r="H640" s="90" t="b">
        <v>0</v>
      </c>
      <c r="I640" s="90" t="b">
        <v>0</v>
      </c>
      <c r="J640" s="90" t="b">
        <v>0</v>
      </c>
      <c r="K640" s="90" t="b">
        <v>0</v>
      </c>
      <c r="L640" s="90" t="b">
        <v>0</v>
      </c>
    </row>
    <row r="641" spans="1:12" ht="15">
      <c r="A641" s="87" t="s">
        <v>2073</v>
      </c>
      <c r="B641" s="90" t="s">
        <v>1884</v>
      </c>
      <c r="C641" s="90">
        <v>2</v>
      </c>
      <c r="D641" s="114">
        <v>0.004633980501465296</v>
      </c>
      <c r="E641" s="114">
        <v>1.2612628687924936</v>
      </c>
      <c r="F641" s="90" t="s">
        <v>1396</v>
      </c>
      <c r="G641" s="90" t="b">
        <v>0</v>
      </c>
      <c r="H641" s="90" t="b">
        <v>0</v>
      </c>
      <c r="I641" s="90" t="b">
        <v>0</v>
      </c>
      <c r="J641" s="90" t="b">
        <v>0</v>
      </c>
      <c r="K641" s="90" t="b">
        <v>0</v>
      </c>
      <c r="L641" s="90" t="b">
        <v>0</v>
      </c>
    </row>
    <row r="642" spans="1:12" ht="15">
      <c r="A642" s="87" t="s">
        <v>1884</v>
      </c>
      <c r="B642" s="90" t="s">
        <v>1925</v>
      </c>
      <c r="C642" s="90">
        <v>2</v>
      </c>
      <c r="D642" s="114">
        <v>0.004633980501465296</v>
      </c>
      <c r="E642" s="114">
        <v>1.2612628687924936</v>
      </c>
      <c r="F642" s="90" t="s">
        <v>1396</v>
      </c>
      <c r="G642" s="90" t="b">
        <v>0</v>
      </c>
      <c r="H642" s="90" t="b">
        <v>0</v>
      </c>
      <c r="I642" s="90" t="b">
        <v>0</v>
      </c>
      <c r="J642" s="90" t="b">
        <v>0</v>
      </c>
      <c r="K642" s="90" t="b">
        <v>0</v>
      </c>
      <c r="L642" s="90" t="b">
        <v>0</v>
      </c>
    </row>
    <row r="643" spans="1:12" ht="15">
      <c r="A643" s="87" t="s">
        <v>1925</v>
      </c>
      <c r="B643" s="90" t="s">
        <v>2074</v>
      </c>
      <c r="C643" s="90">
        <v>2</v>
      </c>
      <c r="D643" s="114">
        <v>0.004633980501465296</v>
      </c>
      <c r="E643" s="114">
        <v>1.5622928644564746</v>
      </c>
      <c r="F643" s="90" t="s">
        <v>1396</v>
      </c>
      <c r="G643" s="90" t="b">
        <v>0</v>
      </c>
      <c r="H643" s="90" t="b">
        <v>0</v>
      </c>
      <c r="I643" s="90" t="b">
        <v>0</v>
      </c>
      <c r="J643" s="90" t="b">
        <v>0</v>
      </c>
      <c r="K643" s="90" t="b">
        <v>0</v>
      </c>
      <c r="L643" s="90" t="b">
        <v>0</v>
      </c>
    </row>
    <row r="644" spans="1:12" ht="15">
      <c r="A644" s="87" t="s">
        <v>2074</v>
      </c>
      <c r="B644" s="90" t="s">
        <v>2075</v>
      </c>
      <c r="C644" s="90">
        <v>2</v>
      </c>
      <c r="D644" s="114">
        <v>0.004633980501465296</v>
      </c>
      <c r="E644" s="114">
        <v>1.5622928644564746</v>
      </c>
      <c r="F644" s="90" t="s">
        <v>1396</v>
      </c>
      <c r="G644" s="90" t="b">
        <v>0</v>
      </c>
      <c r="H644" s="90" t="b">
        <v>0</v>
      </c>
      <c r="I644" s="90" t="b">
        <v>0</v>
      </c>
      <c r="J644" s="90" t="b">
        <v>0</v>
      </c>
      <c r="K644" s="90" t="b">
        <v>0</v>
      </c>
      <c r="L644" s="9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28BF-C5C8-4701-841C-5EC10B47702F}">
  <dimension ref="A1:C22"/>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2105</v>
      </c>
      <c r="B2" s="117" t="s">
        <v>2106</v>
      </c>
      <c r="C2" s="54" t="s">
        <v>2107</v>
      </c>
    </row>
    <row r="3" spans="1:3" ht="15">
      <c r="A3" s="116" t="s">
        <v>1377</v>
      </c>
      <c r="B3" s="116" t="s">
        <v>1377</v>
      </c>
      <c r="C3" s="35">
        <v>51</v>
      </c>
    </row>
    <row r="4" spans="1:3" ht="15">
      <c r="A4" s="116" t="s">
        <v>1378</v>
      </c>
      <c r="B4" s="116" t="s">
        <v>1378</v>
      </c>
      <c r="C4" s="35">
        <v>149</v>
      </c>
    </row>
    <row r="5" spans="1:3" ht="15">
      <c r="A5" s="116" t="s">
        <v>1379</v>
      </c>
      <c r="B5" s="116" t="s">
        <v>1379</v>
      </c>
      <c r="C5" s="35">
        <v>9</v>
      </c>
    </row>
    <row r="6" spans="1:3" ht="15">
      <c r="A6" s="116" t="s">
        <v>1380</v>
      </c>
      <c r="B6" s="116" t="s">
        <v>1380</v>
      </c>
      <c r="C6" s="35">
        <v>4</v>
      </c>
    </row>
    <row r="7" spans="1:3" ht="15">
      <c r="A7" s="116" t="s">
        <v>1381</v>
      </c>
      <c r="B7" s="116" t="s">
        <v>1381</v>
      </c>
      <c r="C7" s="35">
        <v>4</v>
      </c>
    </row>
    <row r="8" spans="1:3" ht="15">
      <c r="A8" s="116" t="s">
        <v>1382</v>
      </c>
      <c r="B8" s="116" t="s">
        <v>1382</v>
      </c>
      <c r="C8" s="35">
        <v>8</v>
      </c>
    </row>
    <row r="9" spans="1:3" ht="15">
      <c r="A9" s="116" t="s">
        <v>1383</v>
      </c>
      <c r="B9" s="116" t="s">
        <v>1383</v>
      </c>
      <c r="C9" s="35">
        <v>4</v>
      </c>
    </row>
    <row r="10" spans="1:3" ht="15">
      <c r="A10" s="116" t="s">
        <v>1384</v>
      </c>
      <c r="B10" s="116" t="s">
        <v>1384</v>
      </c>
      <c r="C10" s="35">
        <v>6</v>
      </c>
    </row>
    <row r="11" spans="1:3" ht="15">
      <c r="A11" s="116" t="s">
        <v>1385</v>
      </c>
      <c r="B11" s="116" t="s">
        <v>1385</v>
      </c>
      <c r="C11" s="35">
        <v>3</v>
      </c>
    </row>
    <row r="12" spans="1:3" ht="15">
      <c r="A12" s="116" t="s">
        <v>1386</v>
      </c>
      <c r="B12" s="116" t="s">
        <v>1386</v>
      </c>
      <c r="C12" s="35">
        <v>3</v>
      </c>
    </row>
    <row r="13" spans="1:3" ht="15">
      <c r="A13" s="116" t="s">
        <v>1387</v>
      </c>
      <c r="B13" s="116" t="s">
        <v>1387</v>
      </c>
      <c r="C13" s="35">
        <v>2</v>
      </c>
    </row>
    <row r="14" spans="1:3" ht="15">
      <c r="A14" s="116" t="s">
        <v>1388</v>
      </c>
      <c r="B14" s="116" t="s">
        <v>1388</v>
      </c>
      <c r="C14" s="35">
        <v>1</v>
      </c>
    </row>
    <row r="15" spans="1:3" ht="15">
      <c r="A15" s="116" t="s">
        <v>1389</v>
      </c>
      <c r="B15" s="116" t="s">
        <v>1389</v>
      </c>
      <c r="C15" s="35">
        <v>1</v>
      </c>
    </row>
    <row r="16" spans="1:3" ht="15">
      <c r="A16" s="116" t="s">
        <v>1390</v>
      </c>
      <c r="B16" s="116" t="s">
        <v>1390</v>
      </c>
      <c r="C16" s="35">
        <v>1</v>
      </c>
    </row>
    <row r="17" spans="1:3" ht="15">
      <c r="A17" s="116" t="s">
        <v>1391</v>
      </c>
      <c r="B17" s="116" t="s">
        <v>1391</v>
      </c>
      <c r="C17" s="35">
        <v>1</v>
      </c>
    </row>
    <row r="18" spans="1:3" ht="15">
      <c r="A18" s="116" t="s">
        <v>1392</v>
      </c>
      <c r="B18" s="116" t="s">
        <v>1392</v>
      </c>
      <c r="C18" s="35">
        <v>2</v>
      </c>
    </row>
    <row r="19" spans="1:3" ht="15">
      <c r="A19" s="116" t="s">
        <v>1393</v>
      </c>
      <c r="B19" s="116" t="s">
        <v>1393</v>
      </c>
      <c r="C19" s="35">
        <v>1</v>
      </c>
    </row>
    <row r="20" spans="1:3" ht="15">
      <c r="A20" s="116" t="s">
        <v>1394</v>
      </c>
      <c r="B20" s="116" t="s">
        <v>1394</v>
      </c>
      <c r="C20" s="35">
        <v>2</v>
      </c>
    </row>
    <row r="21" spans="1:3" ht="15">
      <c r="A21" s="116" t="s">
        <v>1395</v>
      </c>
      <c r="B21" s="116" t="s">
        <v>1395</v>
      </c>
      <c r="C21" s="35">
        <v>2</v>
      </c>
    </row>
    <row r="22" spans="1:3" ht="15">
      <c r="A22" s="116" t="s">
        <v>1396</v>
      </c>
      <c r="B22" s="116" t="s">
        <v>1396</v>
      </c>
      <c r="C22" s="35">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08D18-01DD-4282-BE7F-220F10FA2E97}">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2126</v>
      </c>
      <c r="B1" s="13" t="s">
        <v>17</v>
      </c>
    </row>
    <row r="2" spans="1:2" ht="15">
      <c r="A2" s="81" t="s">
        <v>2127</v>
      </c>
      <c r="B2" s="81" t="s">
        <v>2133</v>
      </c>
    </row>
    <row r="3" spans="1:2" ht="15">
      <c r="A3" s="82" t="s">
        <v>2128</v>
      </c>
      <c r="B3" s="81" t="s">
        <v>2134</v>
      </c>
    </row>
    <row r="4" spans="1:2" ht="15">
      <c r="A4" s="82" t="s">
        <v>2129</v>
      </c>
      <c r="B4" s="81" t="s">
        <v>2135</v>
      </c>
    </row>
    <row r="5" spans="1:2" ht="15">
      <c r="A5" s="82" t="s">
        <v>2130</v>
      </c>
      <c r="B5" s="81" t="s">
        <v>2136</v>
      </c>
    </row>
    <row r="6" spans="1:2" ht="15">
      <c r="A6" s="82" t="s">
        <v>2131</v>
      </c>
      <c r="B6" s="81" t="s">
        <v>2137</v>
      </c>
    </row>
    <row r="7" spans="1:2" ht="15">
      <c r="A7" s="82" t="s">
        <v>2132</v>
      </c>
      <c r="B7" s="81" t="s">
        <v>2134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4227-D6F8-4A64-8FE1-2D4A08508B9C}">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2138</v>
      </c>
      <c r="B1" s="13" t="s">
        <v>34</v>
      </c>
    </row>
    <row r="2" spans="1:2" ht="15">
      <c r="A2" s="107" t="s">
        <v>273</v>
      </c>
      <c r="B2" s="81">
        <v>119</v>
      </c>
    </row>
    <row r="3" spans="1:2" ht="15">
      <c r="A3" s="110" t="s">
        <v>274</v>
      </c>
      <c r="B3" s="81">
        <v>41</v>
      </c>
    </row>
    <row r="4" spans="1:2" ht="15">
      <c r="A4" s="110" t="s">
        <v>275</v>
      </c>
      <c r="B4" s="81">
        <v>30</v>
      </c>
    </row>
    <row r="5" spans="1:2" ht="15">
      <c r="A5" s="110" t="s">
        <v>271</v>
      </c>
      <c r="B5" s="81">
        <v>14</v>
      </c>
    </row>
    <row r="6" spans="1:2" ht="15">
      <c r="A6" s="110" t="s">
        <v>272</v>
      </c>
      <c r="B6" s="81">
        <v>14</v>
      </c>
    </row>
    <row r="7" spans="1:2" ht="15">
      <c r="A7" s="110" t="s">
        <v>285</v>
      </c>
      <c r="B7" s="81">
        <v>12</v>
      </c>
    </row>
    <row r="8" spans="1:2" ht="15">
      <c r="A8" s="110" t="s">
        <v>296</v>
      </c>
      <c r="B8" s="81">
        <v>12</v>
      </c>
    </row>
    <row r="9" spans="1:2" ht="15">
      <c r="A9" s="110" t="s">
        <v>321</v>
      </c>
      <c r="B9" s="81">
        <v>10</v>
      </c>
    </row>
    <row r="10" spans="1:2" ht="15">
      <c r="A10" s="110" t="s">
        <v>302</v>
      </c>
      <c r="B10" s="81">
        <v>10</v>
      </c>
    </row>
    <row r="11" spans="1:2" ht="15">
      <c r="A11" s="110" t="s">
        <v>266</v>
      </c>
      <c r="B11" s="81">
        <v>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8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8515625" style="0" customWidth="1"/>
    <col min="43" max="43" width="10.8515625" style="0" customWidth="1"/>
    <col min="44" max="44" width="8.7109375" style="0" customWidth="1"/>
    <col min="45" max="45" width="14.00390625" style="0" customWidth="1"/>
    <col min="46" max="46" width="8.8515625" style="0" customWidth="1"/>
    <col min="47" max="47" width="10.00390625" style="0" customWidth="1"/>
    <col min="48" max="48" width="7.57421875" style="0" customWidth="1"/>
    <col min="49" max="49" width="17.57421875" style="0" customWidth="1"/>
    <col min="50" max="50" width="8.7109375" style="0" customWidth="1"/>
    <col min="51" max="52" width="14.00390625" style="0" customWidth="1"/>
    <col min="53" max="53" width="13.0039062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2157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993</v>
      </c>
      <c r="AF2" s="13" t="s">
        <v>994</v>
      </c>
      <c r="AG2" s="13" t="s">
        <v>995</v>
      </c>
      <c r="AH2" s="13" t="s">
        <v>996</v>
      </c>
      <c r="AI2" s="13" t="s">
        <v>997</v>
      </c>
      <c r="AJ2" s="13" t="s">
        <v>998</v>
      </c>
      <c r="AK2" s="13" t="s">
        <v>999</v>
      </c>
      <c r="AL2" s="13" t="s">
        <v>1000</v>
      </c>
      <c r="AM2" s="13" t="s">
        <v>1001</v>
      </c>
      <c r="AN2" s="13" t="s">
        <v>1002</v>
      </c>
      <c r="AO2" s="13" t="s">
        <v>1003</v>
      </c>
      <c r="AP2" s="13" t="s">
        <v>1004</v>
      </c>
      <c r="AQ2" s="13" t="s">
        <v>1005</v>
      </c>
      <c r="AR2" s="13" t="s">
        <v>1006</v>
      </c>
      <c r="AS2" s="13" t="s">
        <v>1007</v>
      </c>
      <c r="AT2" s="13" t="s">
        <v>1008</v>
      </c>
      <c r="AU2" s="13" t="s">
        <v>229</v>
      </c>
      <c r="AV2" s="13" t="s">
        <v>1009</v>
      </c>
      <c r="AW2" s="13" t="s">
        <v>1010</v>
      </c>
      <c r="AX2" s="13" t="s">
        <v>1011</v>
      </c>
      <c r="AY2" s="13" t="s">
        <v>1012</v>
      </c>
      <c r="AZ2" s="13" t="s">
        <v>1013</v>
      </c>
      <c r="BA2" s="13" t="s">
        <v>1014</v>
      </c>
      <c r="BB2" s="13" t="s">
        <v>1409</v>
      </c>
      <c r="BC2" s="111" t="s">
        <v>1695</v>
      </c>
      <c r="BD2" s="111" t="s">
        <v>1697</v>
      </c>
      <c r="BE2" s="111" t="s">
        <v>1698</v>
      </c>
      <c r="BF2" s="111" t="s">
        <v>1699</v>
      </c>
      <c r="BG2" s="111" t="s">
        <v>1700</v>
      </c>
      <c r="BH2" s="111" t="s">
        <v>1701</v>
      </c>
      <c r="BI2" s="111" t="s">
        <v>1702</v>
      </c>
      <c r="BJ2" s="111" t="s">
        <v>1735</v>
      </c>
      <c r="BK2" s="111" t="s">
        <v>1744</v>
      </c>
      <c r="BL2" s="111" t="s">
        <v>1776</v>
      </c>
      <c r="BM2" s="111" t="s">
        <v>2094</v>
      </c>
      <c r="BN2" s="111" t="s">
        <v>2095</v>
      </c>
      <c r="BO2" s="111" t="s">
        <v>2096</v>
      </c>
      <c r="BP2" s="111" t="s">
        <v>2097</v>
      </c>
      <c r="BQ2" s="111" t="s">
        <v>2098</v>
      </c>
      <c r="BR2" s="111" t="s">
        <v>2099</v>
      </c>
      <c r="BS2" s="111" t="s">
        <v>2100</v>
      </c>
      <c r="BT2" s="111" t="s">
        <v>2101</v>
      </c>
      <c r="BU2" s="111" t="s">
        <v>2103</v>
      </c>
      <c r="BV2" s="3"/>
      <c r="BW2" s="3"/>
    </row>
    <row r="3" spans="1:75" ht="41.45" customHeight="1">
      <c r="A3" s="66" t="s">
        <v>306</v>
      </c>
      <c r="C3" s="67"/>
      <c r="D3" s="67" t="s">
        <v>64</v>
      </c>
      <c r="E3" s="68">
        <v>500.92415071275065</v>
      </c>
      <c r="F3" s="70">
        <v>98.07318508870256</v>
      </c>
      <c r="G3" s="105" t="str">
        <f>HYPERLINK("https://pbs.twimg.com/profile_images/1423201835628761091/282JvrEE_normal.jpg")</f>
        <v>https://pbs.twimg.com/profile_images/1423201835628761091/282JvrEE_normal.jpg</v>
      </c>
      <c r="H3" s="67"/>
      <c r="I3" s="71" t="s">
        <v>306</v>
      </c>
      <c r="J3" s="72"/>
      <c r="K3" s="72"/>
      <c r="L3" s="71" t="s">
        <v>1374</v>
      </c>
      <c r="M3" s="75">
        <v>643.1431827717279</v>
      </c>
      <c r="N3" s="76">
        <v>1252.5469970703125</v>
      </c>
      <c r="O3" s="76">
        <v>1023.1277465820312</v>
      </c>
      <c r="P3" s="77"/>
      <c r="Q3" s="78"/>
      <c r="R3" s="78"/>
      <c r="S3" s="49"/>
      <c r="T3" s="49">
        <v>1</v>
      </c>
      <c r="U3" s="49">
        <v>1</v>
      </c>
      <c r="V3" s="50">
        <v>0</v>
      </c>
      <c r="W3" s="50">
        <v>0</v>
      </c>
      <c r="X3" s="50">
        <v>0</v>
      </c>
      <c r="Y3" s="50">
        <v>0.0125</v>
      </c>
      <c r="Z3" s="50">
        <v>0</v>
      </c>
      <c r="AA3" s="50">
        <v>0</v>
      </c>
      <c r="AB3" s="73">
        <v>3</v>
      </c>
      <c r="AC3" s="73"/>
      <c r="AD3" s="74"/>
      <c r="AE3" s="81" t="s">
        <v>1092</v>
      </c>
      <c r="AF3" s="90" t="s">
        <v>1157</v>
      </c>
      <c r="AG3" s="81">
        <v>703</v>
      </c>
      <c r="AH3" s="81">
        <v>20521</v>
      </c>
      <c r="AI3" s="81">
        <v>69015</v>
      </c>
      <c r="AJ3" s="81">
        <v>377</v>
      </c>
      <c r="AK3" s="81"/>
      <c r="AL3" s="81" t="s">
        <v>1234</v>
      </c>
      <c r="AM3" s="81" t="s">
        <v>1293</v>
      </c>
      <c r="AN3" s="86" t="str">
        <f>HYPERLINK("https://t.co/Tj5X2OdVOl")</f>
        <v>https://t.co/Tj5X2OdVOl</v>
      </c>
      <c r="AO3" s="81"/>
      <c r="AP3" s="83">
        <v>39826.57226851852</v>
      </c>
      <c r="AQ3" s="86" t="str">
        <f>HYPERLINK("https://pbs.twimg.com/profile_banners/18938121/1586275048")</f>
        <v>https://pbs.twimg.com/profile_banners/18938121/1586275048</v>
      </c>
      <c r="AR3" s="81" t="b">
        <v>1</v>
      </c>
      <c r="AS3" s="81" t="b">
        <v>0</v>
      </c>
      <c r="AT3" s="81" t="b">
        <v>1</v>
      </c>
      <c r="AU3" s="81"/>
      <c r="AV3" s="81">
        <v>225</v>
      </c>
      <c r="AW3" s="86" t="str">
        <f>HYPERLINK("https://abs.twimg.com/images/themes/theme1/bg.png")</f>
        <v>https://abs.twimg.com/images/themes/theme1/bg.png</v>
      </c>
      <c r="AX3" s="81" t="b">
        <v>1</v>
      </c>
      <c r="AY3" s="81" t="s">
        <v>1294</v>
      </c>
      <c r="AZ3" s="86" t="str">
        <f>HYPERLINK("https://twitter.com/ntelegraph")</f>
        <v>https://twitter.com/ntelegraph</v>
      </c>
      <c r="BA3" s="81" t="s">
        <v>66</v>
      </c>
      <c r="BB3" s="81" t="str">
        <f>REPLACE(INDEX(GroupVertices[Group],MATCH(Vertices[[#This Row],[Vertex]],GroupVertices[Vertex],0)),1,1,"")</f>
        <v>2</v>
      </c>
      <c r="BC3" s="49" t="s">
        <v>1414</v>
      </c>
      <c r="BD3" s="49" t="s">
        <v>1414</v>
      </c>
      <c r="BE3" s="49" t="s">
        <v>521</v>
      </c>
      <c r="BF3" s="49" t="s">
        <v>521</v>
      </c>
      <c r="BG3" s="49"/>
      <c r="BH3" s="49"/>
      <c r="BI3" s="112" t="s">
        <v>1703</v>
      </c>
      <c r="BJ3" s="112" t="s">
        <v>1703</v>
      </c>
      <c r="BK3" s="112" t="s">
        <v>1745</v>
      </c>
      <c r="BL3" s="112" t="s">
        <v>1745</v>
      </c>
      <c r="BM3" s="112">
        <v>0</v>
      </c>
      <c r="BN3" s="115">
        <v>0</v>
      </c>
      <c r="BO3" s="112">
        <v>0</v>
      </c>
      <c r="BP3" s="115">
        <v>0</v>
      </c>
      <c r="BQ3" s="112">
        <v>0</v>
      </c>
      <c r="BR3" s="115">
        <v>0</v>
      </c>
      <c r="BS3" s="112">
        <v>11</v>
      </c>
      <c r="BT3" s="115">
        <v>100</v>
      </c>
      <c r="BU3" s="112">
        <v>11</v>
      </c>
      <c r="BV3" s="3"/>
      <c r="BW3" s="3"/>
    </row>
    <row r="4" spans="1:78" ht="41.45" customHeight="1">
      <c r="A4" s="66" t="s">
        <v>249</v>
      </c>
      <c r="C4" s="67"/>
      <c r="D4" s="67" t="s">
        <v>64</v>
      </c>
      <c r="E4" s="68">
        <v>166.49409491512057</v>
      </c>
      <c r="F4" s="70">
        <v>99.97445065783295</v>
      </c>
      <c r="G4" s="105" t="str">
        <f>HYPERLINK("https://pbs.twimg.com/profile_images/1457820769510100996/Ko1Xx1bp_normal.jpg")</f>
        <v>https://pbs.twimg.com/profile_images/1457820769510100996/Ko1Xx1bp_normal.jpg</v>
      </c>
      <c r="H4" s="67"/>
      <c r="I4" s="71" t="s">
        <v>249</v>
      </c>
      <c r="J4" s="72"/>
      <c r="K4" s="72"/>
      <c r="L4" s="71" t="s">
        <v>1295</v>
      </c>
      <c r="M4" s="75">
        <v>9.514744099542241</v>
      </c>
      <c r="N4" s="76">
        <v>5044.92578125</v>
      </c>
      <c r="O4" s="76">
        <v>5482.07470703125</v>
      </c>
      <c r="P4" s="77"/>
      <c r="Q4" s="78"/>
      <c r="R4" s="78"/>
      <c r="S4" s="91"/>
      <c r="T4" s="49">
        <v>0</v>
      </c>
      <c r="U4" s="49">
        <v>2</v>
      </c>
      <c r="V4" s="50">
        <v>0</v>
      </c>
      <c r="W4" s="50">
        <v>0.033755</v>
      </c>
      <c r="X4" s="50">
        <v>0</v>
      </c>
      <c r="Y4" s="50">
        <v>0.011794</v>
      </c>
      <c r="Z4" s="50">
        <v>1</v>
      </c>
      <c r="AA4" s="50">
        <v>0</v>
      </c>
      <c r="AB4" s="73">
        <v>4</v>
      </c>
      <c r="AC4" s="73"/>
      <c r="AD4" s="74"/>
      <c r="AE4" s="81" t="s">
        <v>1015</v>
      </c>
      <c r="AF4" s="90" t="s">
        <v>1093</v>
      </c>
      <c r="AG4" s="81">
        <v>299</v>
      </c>
      <c r="AH4" s="81">
        <v>280</v>
      </c>
      <c r="AI4" s="81">
        <v>23527</v>
      </c>
      <c r="AJ4" s="81">
        <v>16160</v>
      </c>
      <c r="AK4" s="81"/>
      <c r="AL4" s="81" t="s">
        <v>1158</v>
      </c>
      <c r="AM4" s="81" t="s">
        <v>1235</v>
      </c>
      <c r="AN4" s="81"/>
      <c r="AO4" s="81"/>
      <c r="AP4" s="83">
        <v>40335.745092592595</v>
      </c>
      <c r="AQ4" s="86" t="str">
        <f>HYPERLINK("https://pbs.twimg.com/profile_banners/152714589/1534764462")</f>
        <v>https://pbs.twimg.com/profile_banners/152714589/1534764462</v>
      </c>
      <c r="AR4" s="81" t="b">
        <v>1</v>
      </c>
      <c r="AS4" s="81" t="b">
        <v>0</v>
      </c>
      <c r="AT4" s="81" t="b">
        <v>1</v>
      </c>
      <c r="AU4" s="81"/>
      <c r="AV4" s="81">
        <v>6</v>
      </c>
      <c r="AW4" s="86" t="str">
        <f>HYPERLINK("https://abs.twimg.com/images/themes/theme1/bg.png")</f>
        <v>https://abs.twimg.com/images/themes/theme1/bg.png</v>
      </c>
      <c r="AX4" s="81" t="b">
        <v>0</v>
      </c>
      <c r="AY4" s="81" t="s">
        <v>1294</v>
      </c>
      <c r="AZ4" s="86" t="str">
        <f>HYPERLINK("https://twitter.com/nerans1")</f>
        <v>https://twitter.com/nerans1</v>
      </c>
      <c r="BA4" s="81" t="s">
        <v>66</v>
      </c>
      <c r="BB4" s="81" t="str">
        <f>REPLACE(INDEX(GroupVertices[Group],MATCH(Vertices[[#This Row],[Vertex]],GroupVertices[Vertex],0)),1,1,"")</f>
        <v>6</v>
      </c>
      <c r="BC4" s="49" t="s">
        <v>1414</v>
      </c>
      <c r="BD4" s="49" t="s">
        <v>1414</v>
      </c>
      <c r="BE4" s="49" t="s">
        <v>521</v>
      </c>
      <c r="BF4" s="49" t="s">
        <v>521</v>
      </c>
      <c r="BG4" s="49"/>
      <c r="BH4" s="49"/>
      <c r="BI4" s="112" t="s">
        <v>1704</v>
      </c>
      <c r="BJ4" s="112" t="s">
        <v>1704</v>
      </c>
      <c r="BK4" s="112" t="s">
        <v>1746</v>
      </c>
      <c r="BL4" s="112" t="s">
        <v>1746</v>
      </c>
      <c r="BM4" s="112">
        <v>1</v>
      </c>
      <c r="BN4" s="115">
        <v>5.555555555555555</v>
      </c>
      <c r="BO4" s="112">
        <v>0</v>
      </c>
      <c r="BP4" s="115">
        <v>0</v>
      </c>
      <c r="BQ4" s="112">
        <v>0</v>
      </c>
      <c r="BR4" s="115">
        <v>0</v>
      </c>
      <c r="BS4" s="112">
        <v>17</v>
      </c>
      <c r="BT4" s="115">
        <v>94.44444444444444</v>
      </c>
      <c r="BU4" s="112">
        <v>18</v>
      </c>
      <c r="BV4" s="2"/>
      <c r="BW4" s="3"/>
      <c r="BX4" s="3"/>
      <c r="BY4" s="3"/>
      <c r="BZ4" s="3"/>
    </row>
    <row r="5" spans="1:78" ht="41.45" customHeight="1">
      <c r="A5" s="66" t="s">
        <v>265</v>
      </c>
      <c r="C5" s="67"/>
      <c r="D5" s="67" t="s">
        <v>64</v>
      </c>
      <c r="E5" s="68">
        <v>211.68288018296892</v>
      </c>
      <c r="F5" s="70">
        <v>99.71754826508695</v>
      </c>
      <c r="G5" s="105" t="str">
        <f>HYPERLINK("https://pbs.twimg.com/profile_images/1154347431762583552/02c53hkG_normal.jpg")</f>
        <v>https://pbs.twimg.com/profile_images/1154347431762583552/02c53hkG_normal.jpg</v>
      </c>
      <c r="H5" s="67"/>
      <c r="I5" s="71" t="s">
        <v>265</v>
      </c>
      <c r="J5" s="72"/>
      <c r="K5" s="72"/>
      <c r="L5" s="71" t="s">
        <v>1296</v>
      </c>
      <c r="M5" s="75">
        <v>95.1317481886894</v>
      </c>
      <c r="N5" s="76">
        <v>4151.41650390625</v>
      </c>
      <c r="O5" s="76">
        <v>6039.21923828125</v>
      </c>
      <c r="P5" s="77"/>
      <c r="Q5" s="78"/>
      <c r="R5" s="78"/>
      <c r="S5" s="91"/>
      <c r="T5" s="49">
        <v>3</v>
      </c>
      <c r="U5" s="49">
        <v>1</v>
      </c>
      <c r="V5" s="50">
        <v>1</v>
      </c>
      <c r="W5" s="50">
        <v>0.040506</v>
      </c>
      <c r="X5" s="50">
        <v>0</v>
      </c>
      <c r="Y5" s="50">
        <v>0.012917</v>
      </c>
      <c r="Z5" s="50">
        <v>0.3333333333333333</v>
      </c>
      <c r="AA5" s="50">
        <v>0.3333333333333333</v>
      </c>
      <c r="AB5" s="73">
        <v>5</v>
      </c>
      <c r="AC5" s="73"/>
      <c r="AD5" s="74"/>
      <c r="AE5" s="81" t="s">
        <v>1016</v>
      </c>
      <c r="AF5" s="90" t="s">
        <v>1094</v>
      </c>
      <c r="AG5" s="81">
        <v>2049</v>
      </c>
      <c r="AH5" s="81">
        <v>3015</v>
      </c>
      <c r="AI5" s="81">
        <v>17488</v>
      </c>
      <c r="AJ5" s="81">
        <v>4474</v>
      </c>
      <c r="AK5" s="81"/>
      <c r="AL5" s="81" t="s">
        <v>1159</v>
      </c>
      <c r="AM5" s="81" t="s">
        <v>1236</v>
      </c>
      <c r="AN5" s="86" t="str">
        <f>HYPERLINK("https://t.co/4vT327U5B9")</f>
        <v>https://t.co/4vT327U5B9</v>
      </c>
      <c r="AO5" s="81"/>
      <c r="AP5" s="83">
        <v>40870.65248842593</v>
      </c>
      <c r="AQ5" s="86" t="str">
        <f>HYPERLINK("https://pbs.twimg.com/profile_banners/419619709/1643314337")</f>
        <v>https://pbs.twimg.com/profile_banners/419619709/1643314337</v>
      </c>
      <c r="AR5" s="81" t="b">
        <v>0</v>
      </c>
      <c r="AS5" s="81" t="b">
        <v>0</v>
      </c>
      <c r="AT5" s="81" t="b">
        <v>0</v>
      </c>
      <c r="AU5" s="81"/>
      <c r="AV5" s="81">
        <v>36</v>
      </c>
      <c r="AW5" s="86" t="str">
        <f>HYPERLINK("https://abs.twimg.com/images/themes/theme4/bg.gif")</f>
        <v>https://abs.twimg.com/images/themes/theme4/bg.gif</v>
      </c>
      <c r="AX5" s="81" t="b">
        <v>1</v>
      </c>
      <c r="AY5" s="81" t="s">
        <v>1294</v>
      </c>
      <c r="AZ5" s="86" t="str">
        <f>HYPERLINK("https://twitter.com/alisonbagley1")</f>
        <v>https://twitter.com/alisonbagley1</v>
      </c>
      <c r="BA5" s="81" t="s">
        <v>66</v>
      </c>
      <c r="BB5" s="81" t="str">
        <f>REPLACE(INDEX(GroupVertices[Group],MATCH(Vertices[[#This Row],[Vertex]],GroupVertices[Vertex],0)),1,1,"")</f>
        <v>6</v>
      </c>
      <c r="BC5" s="49" t="s">
        <v>1414</v>
      </c>
      <c r="BD5" s="49" t="s">
        <v>1414</v>
      </c>
      <c r="BE5" s="49" t="s">
        <v>521</v>
      </c>
      <c r="BF5" s="49" t="s">
        <v>521</v>
      </c>
      <c r="BG5" s="49"/>
      <c r="BH5" s="49"/>
      <c r="BI5" s="112" t="s">
        <v>1704</v>
      </c>
      <c r="BJ5" s="112" t="s">
        <v>1704</v>
      </c>
      <c r="BK5" s="112" t="s">
        <v>1746</v>
      </c>
      <c r="BL5" s="112" t="s">
        <v>1746</v>
      </c>
      <c r="BM5" s="112">
        <v>1</v>
      </c>
      <c r="BN5" s="115">
        <v>5.555555555555555</v>
      </c>
      <c r="BO5" s="112">
        <v>0</v>
      </c>
      <c r="BP5" s="115">
        <v>0</v>
      </c>
      <c r="BQ5" s="112">
        <v>0</v>
      </c>
      <c r="BR5" s="115">
        <v>0</v>
      </c>
      <c r="BS5" s="112">
        <v>17</v>
      </c>
      <c r="BT5" s="115">
        <v>94.44444444444444</v>
      </c>
      <c r="BU5" s="112">
        <v>18</v>
      </c>
      <c r="BV5" s="2"/>
      <c r="BW5" s="3"/>
      <c r="BX5" s="3"/>
      <c r="BY5" s="3"/>
      <c r="BZ5" s="3"/>
    </row>
    <row r="6" spans="1:78" ht="41.45" customHeight="1">
      <c r="A6" s="66" t="s">
        <v>266</v>
      </c>
      <c r="C6" s="67"/>
      <c r="D6" s="67" t="s">
        <v>64</v>
      </c>
      <c r="E6" s="68">
        <v>238.89528579033498</v>
      </c>
      <c r="F6" s="70">
        <v>99.5628432410092</v>
      </c>
      <c r="G6" s="105" t="str">
        <f>HYPERLINK("https://pbs.twimg.com/profile_images/1406286973753610240/ghYt2Csv_normal.jpg")</f>
        <v>https://pbs.twimg.com/profile_images/1406286973753610240/ghYt2Csv_normal.jpg</v>
      </c>
      <c r="H6" s="67"/>
      <c r="I6" s="71" t="s">
        <v>266</v>
      </c>
      <c r="J6" s="72"/>
      <c r="K6" s="72"/>
      <c r="L6" s="71" t="s">
        <v>1297</v>
      </c>
      <c r="M6" s="75">
        <v>146.68977587966762</v>
      </c>
      <c r="N6" s="76">
        <v>4120.982421875</v>
      </c>
      <c r="O6" s="76">
        <v>4762.27392578125</v>
      </c>
      <c r="P6" s="77"/>
      <c r="Q6" s="78"/>
      <c r="R6" s="78"/>
      <c r="S6" s="91"/>
      <c r="T6" s="49">
        <v>3</v>
      </c>
      <c r="U6" s="49">
        <v>2</v>
      </c>
      <c r="V6" s="50">
        <v>7</v>
      </c>
      <c r="W6" s="50">
        <v>0.050633</v>
      </c>
      <c r="X6" s="50">
        <v>0</v>
      </c>
      <c r="Y6" s="50">
        <v>0.013944</v>
      </c>
      <c r="Z6" s="50">
        <v>0.16666666666666666</v>
      </c>
      <c r="AA6" s="50">
        <v>0.25</v>
      </c>
      <c r="AB6" s="73">
        <v>6</v>
      </c>
      <c r="AC6" s="73"/>
      <c r="AD6" s="74"/>
      <c r="AE6" s="81" t="s">
        <v>1017</v>
      </c>
      <c r="AF6" s="90" t="s">
        <v>1095</v>
      </c>
      <c r="AG6" s="81">
        <v>2178</v>
      </c>
      <c r="AH6" s="81">
        <v>4662</v>
      </c>
      <c r="AI6" s="81">
        <v>21501</v>
      </c>
      <c r="AJ6" s="81">
        <v>19596</v>
      </c>
      <c r="AK6" s="81"/>
      <c r="AL6" s="81" t="s">
        <v>1160</v>
      </c>
      <c r="AM6" s="81" t="s">
        <v>1237</v>
      </c>
      <c r="AN6" s="86" t="str">
        <f>HYPERLINK("https://t.co/DuCENhLX10")</f>
        <v>https://t.co/DuCENhLX10</v>
      </c>
      <c r="AO6" s="81"/>
      <c r="AP6" s="83">
        <v>40702.65113425926</v>
      </c>
      <c r="AQ6" s="86" t="str">
        <f>HYPERLINK("https://pbs.twimg.com/profile_banners/313384856/1453739504")</f>
        <v>https://pbs.twimg.com/profile_banners/313384856/1453739504</v>
      </c>
      <c r="AR6" s="81" t="b">
        <v>0</v>
      </c>
      <c r="AS6" s="81" t="b">
        <v>0</v>
      </c>
      <c r="AT6" s="81" t="b">
        <v>0</v>
      </c>
      <c r="AU6" s="81"/>
      <c r="AV6" s="81">
        <v>32</v>
      </c>
      <c r="AW6" s="86" t="str">
        <f>HYPERLINK("https://abs.twimg.com/images/themes/theme1/bg.png")</f>
        <v>https://abs.twimg.com/images/themes/theme1/bg.png</v>
      </c>
      <c r="AX6" s="81" t="b">
        <v>1</v>
      </c>
      <c r="AY6" s="81" t="s">
        <v>1294</v>
      </c>
      <c r="AZ6" s="86" t="str">
        <f>HYPERLINK("https://twitter.com/katie_cronin")</f>
        <v>https://twitter.com/katie_cronin</v>
      </c>
      <c r="BA6" s="81" t="s">
        <v>66</v>
      </c>
      <c r="BB6" s="81" t="str">
        <f>REPLACE(INDEX(GroupVertices[Group],MATCH(Vertices[[#This Row],[Vertex]],GroupVertices[Vertex],0)),1,1,"")</f>
        <v>6</v>
      </c>
      <c r="BC6" s="49" t="s">
        <v>1414</v>
      </c>
      <c r="BD6" s="49" t="s">
        <v>1414</v>
      </c>
      <c r="BE6" s="49" t="s">
        <v>521</v>
      </c>
      <c r="BF6" s="49" t="s">
        <v>521</v>
      </c>
      <c r="BG6" s="49"/>
      <c r="BH6" s="49"/>
      <c r="BI6" s="112" t="s">
        <v>1705</v>
      </c>
      <c r="BJ6" s="112" t="s">
        <v>1705</v>
      </c>
      <c r="BK6" s="112" t="s">
        <v>1747</v>
      </c>
      <c r="BL6" s="112" t="s">
        <v>1747</v>
      </c>
      <c r="BM6" s="112">
        <v>1</v>
      </c>
      <c r="BN6" s="115">
        <v>3.3333333333333335</v>
      </c>
      <c r="BO6" s="112">
        <v>1</v>
      </c>
      <c r="BP6" s="115">
        <v>3.3333333333333335</v>
      </c>
      <c r="BQ6" s="112">
        <v>0</v>
      </c>
      <c r="BR6" s="115">
        <v>0</v>
      </c>
      <c r="BS6" s="112">
        <v>28</v>
      </c>
      <c r="BT6" s="115">
        <v>93.33333333333333</v>
      </c>
      <c r="BU6" s="112">
        <v>30</v>
      </c>
      <c r="BV6" s="2"/>
      <c r="BW6" s="3"/>
      <c r="BX6" s="3"/>
      <c r="BY6" s="3"/>
      <c r="BZ6" s="3"/>
    </row>
    <row r="7" spans="1:78" ht="41.45" customHeight="1">
      <c r="A7" s="66" t="s">
        <v>250</v>
      </c>
      <c r="C7" s="67"/>
      <c r="D7" s="67" t="s">
        <v>64</v>
      </c>
      <c r="E7" s="68">
        <v>168.014156430529</v>
      </c>
      <c r="F7" s="70">
        <v>99.96580896857056</v>
      </c>
      <c r="G7" s="105" t="str">
        <f>HYPERLINK("https://pbs.twimg.com/profile_images/1387378835797196805/6badj51q_normal.jpg")</f>
        <v>https://pbs.twimg.com/profile_images/1387378835797196805/6badj51q_normal.jpg</v>
      </c>
      <c r="H7" s="67"/>
      <c r="I7" s="71" t="s">
        <v>250</v>
      </c>
      <c r="J7" s="72"/>
      <c r="K7" s="72"/>
      <c r="L7" s="71" t="s">
        <v>1298</v>
      </c>
      <c r="M7" s="75">
        <v>12.39473107438741</v>
      </c>
      <c r="N7" s="76">
        <v>3233.24169921875</v>
      </c>
      <c r="O7" s="76">
        <v>5561.43017578125</v>
      </c>
      <c r="P7" s="77"/>
      <c r="Q7" s="78"/>
      <c r="R7" s="78"/>
      <c r="S7" s="91"/>
      <c r="T7" s="49">
        <v>0</v>
      </c>
      <c r="U7" s="49">
        <v>2</v>
      </c>
      <c r="V7" s="50">
        <v>0</v>
      </c>
      <c r="W7" s="50">
        <v>0.033755</v>
      </c>
      <c r="X7" s="50">
        <v>0</v>
      </c>
      <c r="Y7" s="50">
        <v>0.011794</v>
      </c>
      <c r="Z7" s="50">
        <v>1</v>
      </c>
      <c r="AA7" s="50">
        <v>0</v>
      </c>
      <c r="AB7" s="73">
        <v>7</v>
      </c>
      <c r="AC7" s="73"/>
      <c r="AD7" s="74"/>
      <c r="AE7" s="81" t="s">
        <v>1018</v>
      </c>
      <c r="AF7" s="90" t="s">
        <v>1096</v>
      </c>
      <c r="AG7" s="81">
        <v>1986</v>
      </c>
      <c r="AH7" s="81">
        <v>372</v>
      </c>
      <c r="AI7" s="81">
        <v>12722</v>
      </c>
      <c r="AJ7" s="81">
        <v>33836</v>
      </c>
      <c r="AK7" s="81"/>
      <c r="AL7" s="81"/>
      <c r="AM7" s="81" t="s">
        <v>1238</v>
      </c>
      <c r="AN7" s="81"/>
      <c r="AO7" s="81"/>
      <c r="AP7" s="83">
        <v>41151.502118055556</v>
      </c>
      <c r="AQ7" s="86" t="str">
        <f>HYPERLINK("https://pbs.twimg.com/profile_banners/791451116/1610536296")</f>
        <v>https://pbs.twimg.com/profile_banners/791451116/1610536296</v>
      </c>
      <c r="AR7" s="81" t="b">
        <v>0</v>
      </c>
      <c r="AS7" s="81" t="b">
        <v>0</v>
      </c>
      <c r="AT7" s="81" t="b">
        <v>1</v>
      </c>
      <c r="AU7" s="81"/>
      <c r="AV7" s="81">
        <v>6</v>
      </c>
      <c r="AW7" s="86" t="str">
        <f>HYPERLINK("https://abs.twimg.com/images/themes/theme1/bg.png")</f>
        <v>https://abs.twimg.com/images/themes/theme1/bg.png</v>
      </c>
      <c r="AX7" s="81" t="b">
        <v>0</v>
      </c>
      <c r="AY7" s="81" t="s">
        <v>1294</v>
      </c>
      <c r="AZ7" s="86" t="str">
        <f>HYPERLINK("https://twitter.com/rikkialexander")</f>
        <v>https://twitter.com/rikkialexander</v>
      </c>
      <c r="BA7" s="81" t="s">
        <v>66</v>
      </c>
      <c r="BB7" s="81" t="str">
        <f>REPLACE(INDEX(GroupVertices[Group],MATCH(Vertices[[#This Row],[Vertex]],GroupVertices[Vertex],0)),1,1,"")</f>
        <v>6</v>
      </c>
      <c r="BC7" s="49" t="s">
        <v>1414</v>
      </c>
      <c r="BD7" s="49" t="s">
        <v>1414</v>
      </c>
      <c r="BE7" s="49" t="s">
        <v>521</v>
      </c>
      <c r="BF7" s="49" t="s">
        <v>521</v>
      </c>
      <c r="BG7" s="49"/>
      <c r="BH7" s="49"/>
      <c r="BI7" s="112" t="s">
        <v>1704</v>
      </c>
      <c r="BJ7" s="112" t="s">
        <v>1704</v>
      </c>
      <c r="BK7" s="112" t="s">
        <v>1746</v>
      </c>
      <c r="BL7" s="112" t="s">
        <v>1746</v>
      </c>
      <c r="BM7" s="112">
        <v>1</v>
      </c>
      <c r="BN7" s="115">
        <v>5.555555555555555</v>
      </c>
      <c r="BO7" s="112">
        <v>0</v>
      </c>
      <c r="BP7" s="115">
        <v>0</v>
      </c>
      <c r="BQ7" s="112">
        <v>0</v>
      </c>
      <c r="BR7" s="115">
        <v>0</v>
      </c>
      <c r="BS7" s="112">
        <v>17</v>
      </c>
      <c r="BT7" s="115">
        <v>94.44444444444444</v>
      </c>
      <c r="BU7" s="112">
        <v>18</v>
      </c>
      <c r="BV7" s="2"/>
      <c r="BW7" s="3"/>
      <c r="BX7" s="3"/>
      <c r="BY7" s="3"/>
      <c r="BZ7" s="3"/>
    </row>
    <row r="8" spans="1:78" ht="41.45" customHeight="1">
      <c r="A8" s="66" t="s">
        <v>251</v>
      </c>
      <c r="C8" s="67"/>
      <c r="D8" s="67" t="s">
        <v>64</v>
      </c>
      <c r="E8" s="68">
        <v>163.5365839231846</v>
      </c>
      <c r="F8" s="70">
        <v>99.99126437933259</v>
      </c>
      <c r="G8" s="105" t="str">
        <f>HYPERLINK("https://pbs.twimg.com/profile_images/1471496703849086989/5845sWBj_normal.jpg")</f>
        <v>https://pbs.twimg.com/profile_images/1471496703849086989/5845sWBj_normal.jpg</v>
      </c>
      <c r="H8" s="67"/>
      <c r="I8" s="71" t="s">
        <v>251</v>
      </c>
      <c r="J8" s="72"/>
      <c r="K8" s="72"/>
      <c r="L8" s="71" t="s">
        <v>1299</v>
      </c>
      <c r="M8" s="75">
        <v>3.9112911810934867</v>
      </c>
      <c r="N8" s="76">
        <v>7179.93359375</v>
      </c>
      <c r="O8" s="76">
        <v>4640.0224609375</v>
      </c>
      <c r="P8" s="77"/>
      <c r="Q8" s="78"/>
      <c r="R8" s="78"/>
      <c r="S8" s="91"/>
      <c r="T8" s="49">
        <v>0</v>
      </c>
      <c r="U8" s="49">
        <v>1</v>
      </c>
      <c r="V8" s="50">
        <v>0</v>
      </c>
      <c r="W8" s="50">
        <v>0.012658</v>
      </c>
      <c r="X8" s="50">
        <v>0</v>
      </c>
      <c r="Y8" s="50">
        <v>0.011628</v>
      </c>
      <c r="Z8" s="50">
        <v>0</v>
      </c>
      <c r="AA8" s="50">
        <v>0</v>
      </c>
      <c r="AB8" s="73">
        <v>8</v>
      </c>
      <c r="AC8" s="73"/>
      <c r="AD8" s="74"/>
      <c r="AE8" s="81" t="s">
        <v>1019</v>
      </c>
      <c r="AF8" s="90" t="s">
        <v>1097</v>
      </c>
      <c r="AG8" s="81">
        <v>86</v>
      </c>
      <c r="AH8" s="81">
        <v>101</v>
      </c>
      <c r="AI8" s="81">
        <v>33882</v>
      </c>
      <c r="AJ8" s="81">
        <v>1836</v>
      </c>
      <c r="AK8" s="81"/>
      <c r="AL8" s="81" t="s">
        <v>1161</v>
      </c>
      <c r="AM8" s="81" t="s">
        <v>1239</v>
      </c>
      <c r="AN8" s="86" t="str">
        <f>HYPERLINK("https://t.co/hUObTlvexF")</f>
        <v>https://t.co/hUObTlvexF</v>
      </c>
      <c r="AO8" s="81"/>
      <c r="AP8" s="83">
        <v>39842.49652777778</v>
      </c>
      <c r="AQ8" s="86" t="str">
        <f>HYPERLINK("https://pbs.twimg.com/profile_banners/19707429/1513301324")</f>
        <v>https://pbs.twimg.com/profile_banners/19707429/1513301324</v>
      </c>
      <c r="AR8" s="81" t="b">
        <v>1</v>
      </c>
      <c r="AS8" s="81" t="b">
        <v>0</v>
      </c>
      <c r="AT8" s="81" t="b">
        <v>0</v>
      </c>
      <c r="AU8" s="81"/>
      <c r="AV8" s="81">
        <v>4</v>
      </c>
      <c r="AW8" s="86" t="str">
        <f>HYPERLINK("https://abs.twimg.com/images/themes/theme1/bg.png")</f>
        <v>https://abs.twimg.com/images/themes/theme1/bg.png</v>
      </c>
      <c r="AX8" s="81" t="b">
        <v>0</v>
      </c>
      <c r="AY8" s="81" t="s">
        <v>1294</v>
      </c>
      <c r="AZ8" s="86" t="str">
        <f>HYPERLINK("https://twitter.com/opusfluke")</f>
        <v>https://twitter.com/opusfluke</v>
      </c>
      <c r="BA8" s="81" t="s">
        <v>66</v>
      </c>
      <c r="BB8" s="81" t="str">
        <f>REPLACE(INDEX(GroupVertices[Group],MATCH(Vertices[[#This Row],[Vertex]],GroupVertices[Vertex],0)),1,1,"")</f>
        <v>20</v>
      </c>
      <c r="BC8" s="49"/>
      <c r="BD8" s="49"/>
      <c r="BE8" s="49"/>
      <c r="BF8" s="49"/>
      <c r="BG8" s="49"/>
      <c r="BH8" s="49"/>
      <c r="BI8" s="112" t="s">
        <v>1706</v>
      </c>
      <c r="BJ8" s="112" t="s">
        <v>1706</v>
      </c>
      <c r="BK8" s="112" t="s">
        <v>1748</v>
      </c>
      <c r="BL8" s="112" t="s">
        <v>1748</v>
      </c>
      <c r="BM8" s="112">
        <v>0</v>
      </c>
      <c r="BN8" s="115">
        <v>0</v>
      </c>
      <c r="BO8" s="112">
        <v>1</v>
      </c>
      <c r="BP8" s="115">
        <v>2</v>
      </c>
      <c r="BQ8" s="112">
        <v>0</v>
      </c>
      <c r="BR8" s="115">
        <v>0</v>
      </c>
      <c r="BS8" s="112">
        <v>49</v>
      </c>
      <c r="BT8" s="115">
        <v>98</v>
      </c>
      <c r="BU8" s="112">
        <v>50</v>
      </c>
      <c r="BV8" s="2"/>
      <c r="BW8" s="3"/>
      <c r="BX8" s="3"/>
      <c r="BY8" s="3"/>
      <c r="BZ8" s="3"/>
    </row>
    <row r="9" spans="1:78" ht="41.45" customHeight="1">
      <c r="A9" s="66" t="s">
        <v>291</v>
      </c>
      <c r="C9" s="67"/>
      <c r="D9" s="67" t="s">
        <v>64</v>
      </c>
      <c r="E9" s="68">
        <v>167.41934975058658</v>
      </c>
      <c r="F9" s="70">
        <v>99.96919049915148</v>
      </c>
      <c r="G9" s="105" t="str">
        <f>HYPERLINK("https://pbs.twimg.com/profile_images/1285214121890394113/0SxqGeHK_normal.jpg")</f>
        <v>https://pbs.twimg.com/profile_images/1285214121890394113/0SxqGeHK_normal.jpg</v>
      </c>
      <c r="H9" s="67"/>
      <c r="I9" s="71" t="s">
        <v>291</v>
      </c>
      <c r="J9" s="72"/>
      <c r="K9" s="72"/>
      <c r="L9" s="71" t="s">
        <v>1300</v>
      </c>
      <c r="M9" s="75">
        <v>11.267779649447997</v>
      </c>
      <c r="N9" s="76">
        <v>7179.93359375</v>
      </c>
      <c r="O9" s="76">
        <v>3500.756103515625</v>
      </c>
      <c r="P9" s="77"/>
      <c r="Q9" s="78"/>
      <c r="R9" s="78"/>
      <c r="S9" s="91"/>
      <c r="T9" s="49">
        <v>2</v>
      </c>
      <c r="U9" s="49">
        <v>1</v>
      </c>
      <c r="V9" s="50">
        <v>0</v>
      </c>
      <c r="W9" s="50">
        <v>0.012658</v>
      </c>
      <c r="X9" s="50">
        <v>0</v>
      </c>
      <c r="Y9" s="50">
        <v>0.013372</v>
      </c>
      <c r="Z9" s="50">
        <v>0</v>
      </c>
      <c r="AA9" s="50">
        <v>0</v>
      </c>
      <c r="AB9" s="73">
        <v>9</v>
      </c>
      <c r="AC9" s="73"/>
      <c r="AD9" s="74"/>
      <c r="AE9" s="81" t="s">
        <v>1020</v>
      </c>
      <c r="AF9" s="90" t="s">
        <v>1098</v>
      </c>
      <c r="AG9" s="81">
        <v>431</v>
      </c>
      <c r="AH9" s="81">
        <v>336</v>
      </c>
      <c r="AI9" s="81">
        <v>6359</v>
      </c>
      <c r="AJ9" s="81">
        <v>150</v>
      </c>
      <c r="AK9" s="81"/>
      <c r="AL9" s="81" t="s">
        <v>1162</v>
      </c>
      <c r="AM9" s="81"/>
      <c r="AN9" s="81"/>
      <c r="AO9" s="81"/>
      <c r="AP9" s="83">
        <v>44032.585625</v>
      </c>
      <c r="AQ9" s="86" t="str">
        <f>HYPERLINK("https://pbs.twimg.com/profile_banners/1285213640644341761/1602412023")</f>
        <v>https://pbs.twimg.com/profile_banners/1285213640644341761/1602412023</v>
      </c>
      <c r="AR9" s="81" t="b">
        <v>1</v>
      </c>
      <c r="AS9" s="81" t="b">
        <v>0</v>
      </c>
      <c r="AT9" s="81" t="b">
        <v>0</v>
      </c>
      <c r="AU9" s="81"/>
      <c r="AV9" s="81">
        <v>5</v>
      </c>
      <c r="AW9" s="81"/>
      <c r="AX9" s="81" t="b">
        <v>0</v>
      </c>
      <c r="AY9" s="81" t="s">
        <v>1294</v>
      </c>
      <c r="AZ9" s="86" t="str">
        <f>HYPERLINK("https://twitter.com/mubot231")</f>
        <v>https://twitter.com/mubot231</v>
      </c>
      <c r="BA9" s="81" t="s">
        <v>66</v>
      </c>
      <c r="BB9" s="81" t="str">
        <f>REPLACE(INDEX(GroupVertices[Group],MATCH(Vertices[[#This Row],[Vertex]],GroupVertices[Vertex],0)),1,1,"")</f>
        <v>20</v>
      </c>
      <c r="BC9" s="49"/>
      <c r="BD9" s="49"/>
      <c r="BE9" s="49"/>
      <c r="BF9" s="49"/>
      <c r="BG9" s="49"/>
      <c r="BH9" s="49"/>
      <c r="BI9" s="112" t="s">
        <v>1707</v>
      </c>
      <c r="BJ9" s="112" t="s">
        <v>1736</v>
      </c>
      <c r="BK9" s="112" t="s">
        <v>1749</v>
      </c>
      <c r="BL9" s="112" t="s">
        <v>1777</v>
      </c>
      <c r="BM9" s="112">
        <v>0</v>
      </c>
      <c r="BN9" s="115">
        <v>0</v>
      </c>
      <c r="BO9" s="112">
        <v>2</v>
      </c>
      <c r="BP9" s="115">
        <v>2.5974025974025974</v>
      </c>
      <c r="BQ9" s="112">
        <v>1</v>
      </c>
      <c r="BR9" s="115">
        <v>1.2987012987012987</v>
      </c>
      <c r="BS9" s="112">
        <v>75</v>
      </c>
      <c r="BT9" s="115">
        <v>97.40259740259741</v>
      </c>
      <c r="BU9" s="112">
        <v>77</v>
      </c>
      <c r="BV9" s="2"/>
      <c r="BW9" s="3"/>
      <c r="BX9" s="3"/>
      <c r="BY9" s="3"/>
      <c r="BZ9" s="3"/>
    </row>
    <row r="10" spans="1:78" ht="41.45" customHeight="1">
      <c r="A10" s="66" t="s">
        <v>252</v>
      </c>
      <c r="C10" s="67"/>
      <c r="D10" s="67" t="s">
        <v>64</v>
      </c>
      <c r="E10" s="68">
        <v>168.82375441156174</v>
      </c>
      <c r="F10" s="70">
        <v>99.96120632972428</v>
      </c>
      <c r="G10" s="105" t="str">
        <f>HYPERLINK("https://pbs.twimg.com/profile_images/1336731602769096705/i4uHG1QY_normal.jpg")</f>
        <v>https://pbs.twimg.com/profile_images/1336731602769096705/i4uHG1QY_normal.jpg</v>
      </c>
      <c r="H10" s="67"/>
      <c r="I10" s="71" t="s">
        <v>252</v>
      </c>
      <c r="J10" s="72"/>
      <c r="K10" s="72"/>
      <c r="L10" s="71" t="s">
        <v>1301</v>
      </c>
      <c r="M10" s="75">
        <v>13.928637180554947</v>
      </c>
      <c r="N10" s="76">
        <v>408.9507141113281</v>
      </c>
      <c r="O10" s="76">
        <v>5029.89404296875</v>
      </c>
      <c r="P10" s="77"/>
      <c r="Q10" s="78"/>
      <c r="R10" s="78"/>
      <c r="S10" s="91"/>
      <c r="T10" s="49">
        <v>0</v>
      </c>
      <c r="U10" s="49">
        <v>3</v>
      </c>
      <c r="V10" s="50">
        <v>0</v>
      </c>
      <c r="W10" s="50">
        <v>0.108017</v>
      </c>
      <c r="X10" s="50">
        <v>0.192209</v>
      </c>
      <c r="Y10" s="50">
        <v>0.011205</v>
      </c>
      <c r="Z10" s="50">
        <v>1</v>
      </c>
      <c r="AA10" s="50">
        <v>0</v>
      </c>
      <c r="AB10" s="73">
        <v>10</v>
      </c>
      <c r="AC10" s="73"/>
      <c r="AD10" s="74"/>
      <c r="AE10" s="81" t="s">
        <v>1021</v>
      </c>
      <c r="AF10" s="90" t="s">
        <v>1099</v>
      </c>
      <c r="AG10" s="81">
        <v>2631</v>
      </c>
      <c r="AH10" s="81">
        <v>421</v>
      </c>
      <c r="AI10" s="81">
        <v>12965</v>
      </c>
      <c r="AJ10" s="81">
        <v>24120</v>
      </c>
      <c r="AK10" s="81"/>
      <c r="AL10" s="81" t="s">
        <v>1163</v>
      </c>
      <c r="AM10" s="81"/>
      <c r="AN10" s="81"/>
      <c r="AO10" s="81"/>
      <c r="AP10" s="83">
        <v>40924.0441087963</v>
      </c>
      <c r="AQ10" s="86" t="str">
        <f>HYPERLINK("https://pbs.twimg.com/profile_banners/465143905/1500366155")</f>
        <v>https://pbs.twimg.com/profile_banners/465143905/1500366155</v>
      </c>
      <c r="AR10" s="81" t="b">
        <v>0</v>
      </c>
      <c r="AS10" s="81" t="b">
        <v>0</v>
      </c>
      <c r="AT10" s="81" t="b">
        <v>1</v>
      </c>
      <c r="AU10" s="81"/>
      <c r="AV10" s="81">
        <v>1</v>
      </c>
      <c r="AW10" s="86" t="str">
        <f>HYPERLINK("https://abs.twimg.com/images/themes/theme10/bg.gif")</f>
        <v>https://abs.twimg.com/images/themes/theme10/bg.gif</v>
      </c>
      <c r="AX10" s="81" t="b">
        <v>0</v>
      </c>
      <c r="AY10" s="81" t="s">
        <v>1294</v>
      </c>
      <c r="AZ10" s="86" t="str">
        <f>HYPERLINK("https://twitter.com/cwezel1")</f>
        <v>https://twitter.com/cwezel1</v>
      </c>
      <c r="BA10" s="81" t="s">
        <v>66</v>
      </c>
      <c r="BB10" s="81" t="str">
        <f>REPLACE(INDEX(GroupVertices[Group],MATCH(Vertices[[#This Row],[Vertex]],GroupVertices[Vertex],0)),1,1,"")</f>
        <v>1</v>
      </c>
      <c r="BC10" s="49" t="s">
        <v>1416</v>
      </c>
      <c r="BD10" s="49" t="s">
        <v>1416</v>
      </c>
      <c r="BE10" s="49" t="s">
        <v>522</v>
      </c>
      <c r="BF10" s="49" t="s">
        <v>522</v>
      </c>
      <c r="BG10" s="49"/>
      <c r="BH10" s="49"/>
      <c r="BI10" s="112" t="s">
        <v>1708</v>
      </c>
      <c r="BJ10" s="112" t="s">
        <v>1708</v>
      </c>
      <c r="BK10" s="112" t="s">
        <v>1750</v>
      </c>
      <c r="BL10" s="112" t="s">
        <v>1750</v>
      </c>
      <c r="BM10" s="112">
        <v>1</v>
      </c>
      <c r="BN10" s="115">
        <v>2.5641025641025643</v>
      </c>
      <c r="BO10" s="112">
        <v>1</v>
      </c>
      <c r="BP10" s="115">
        <v>2.5641025641025643</v>
      </c>
      <c r="BQ10" s="112">
        <v>0</v>
      </c>
      <c r="BR10" s="115">
        <v>0</v>
      </c>
      <c r="BS10" s="112">
        <v>37</v>
      </c>
      <c r="BT10" s="115">
        <v>94.87179487179488</v>
      </c>
      <c r="BU10" s="112">
        <v>39</v>
      </c>
      <c r="BV10" s="2"/>
      <c r="BW10" s="3"/>
      <c r="BX10" s="3"/>
      <c r="BY10" s="3"/>
      <c r="BZ10" s="3"/>
    </row>
    <row r="11" spans="1:78" ht="41.45" customHeight="1">
      <c r="A11" s="66" t="s">
        <v>274</v>
      </c>
      <c r="C11" s="67"/>
      <c r="D11" s="67" t="s">
        <v>64</v>
      </c>
      <c r="E11" s="68">
        <v>499.17277548847574</v>
      </c>
      <c r="F11" s="70">
        <v>98.08314181763531</v>
      </c>
      <c r="G11" s="105" t="str">
        <f>HYPERLINK("https://pbs.twimg.com/profile_images/1527681929952346112/mCY0k91d_normal.jpg")</f>
        <v>https://pbs.twimg.com/profile_images/1527681929952346112/mCY0k91d_normal.jpg</v>
      </c>
      <c r="H11" s="67"/>
      <c r="I11" s="71" t="s">
        <v>274</v>
      </c>
      <c r="J11" s="72"/>
      <c r="K11" s="72"/>
      <c r="L11" s="71" t="s">
        <v>1302</v>
      </c>
      <c r="M11" s="75">
        <v>639.8249369094063</v>
      </c>
      <c r="N11" s="76">
        <v>1945.36962890625</v>
      </c>
      <c r="O11" s="76">
        <v>5209.87841796875</v>
      </c>
      <c r="P11" s="77"/>
      <c r="Q11" s="78"/>
      <c r="R11" s="78"/>
      <c r="S11" s="91"/>
      <c r="T11" s="49">
        <v>13</v>
      </c>
      <c r="U11" s="49">
        <v>2</v>
      </c>
      <c r="V11" s="50">
        <v>41</v>
      </c>
      <c r="W11" s="50">
        <v>0.162025</v>
      </c>
      <c r="X11" s="50">
        <v>0.424962</v>
      </c>
      <c r="Y11" s="50">
        <v>0.017433</v>
      </c>
      <c r="Z11" s="50">
        <v>0.14743589743589744</v>
      </c>
      <c r="AA11" s="50">
        <v>0.15384615384615385</v>
      </c>
      <c r="AB11" s="73">
        <v>11</v>
      </c>
      <c r="AC11" s="73"/>
      <c r="AD11" s="74"/>
      <c r="AE11" s="81" t="s">
        <v>1022</v>
      </c>
      <c r="AF11" s="90" t="s">
        <v>1100</v>
      </c>
      <c r="AG11" s="81">
        <v>7695</v>
      </c>
      <c r="AH11" s="81">
        <v>20415</v>
      </c>
      <c r="AI11" s="81">
        <v>69097</v>
      </c>
      <c r="AJ11" s="81">
        <v>107446</v>
      </c>
      <c r="AK11" s="81"/>
      <c r="AL11" s="81" t="s">
        <v>1164</v>
      </c>
      <c r="AM11" s="81" t="s">
        <v>1240</v>
      </c>
      <c r="AN11" s="86" t="str">
        <f>HYPERLINK("https://t.co/tPL8jJbiZ3")</f>
        <v>https://t.co/tPL8jJbiZ3</v>
      </c>
      <c r="AO11" s="81"/>
      <c r="AP11" s="83">
        <v>39899.804131944446</v>
      </c>
      <c r="AQ11" s="86" t="str">
        <f>HYPERLINK("https://pbs.twimg.com/profile_banners/27074339/1653738677")</f>
        <v>https://pbs.twimg.com/profile_banners/27074339/1653738677</v>
      </c>
      <c r="AR11" s="81" t="b">
        <v>0</v>
      </c>
      <c r="AS11" s="81" t="b">
        <v>0</v>
      </c>
      <c r="AT11" s="81" t="b">
        <v>1</v>
      </c>
      <c r="AU11" s="81"/>
      <c r="AV11" s="81">
        <v>295</v>
      </c>
      <c r="AW11" s="86" t="str">
        <f>HYPERLINK("https://abs.twimg.com/images/themes/theme1/bg.png")</f>
        <v>https://abs.twimg.com/images/themes/theme1/bg.png</v>
      </c>
      <c r="AX11" s="81" t="b">
        <v>1</v>
      </c>
      <c r="AY11" s="81" t="s">
        <v>1294</v>
      </c>
      <c r="AZ11" s="86" t="str">
        <f>HYPERLINK("https://twitter.com/salenagodden")</f>
        <v>https://twitter.com/salenagodden</v>
      </c>
      <c r="BA11" s="81" t="s">
        <v>66</v>
      </c>
      <c r="BB11" s="81" t="str">
        <f>REPLACE(INDEX(GroupVertices[Group],MATCH(Vertices[[#This Row],[Vertex]],GroupVertices[Vertex],0)),1,1,"")</f>
        <v>1</v>
      </c>
      <c r="BC11" s="49" t="s">
        <v>1416</v>
      </c>
      <c r="BD11" s="49" t="s">
        <v>1416</v>
      </c>
      <c r="BE11" s="49" t="s">
        <v>522</v>
      </c>
      <c r="BF11" s="49" t="s">
        <v>522</v>
      </c>
      <c r="BG11" s="49"/>
      <c r="BH11" s="49"/>
      <c r="BI11" s="112" t="s">
        <v>1708</v>
      </c>
      <c r="BJ11" s="112" t="s">
        <v>1708</v>
      </c>
      <c r="BK11" s="112" t="s">
        <v>1750</v>
      </c>
      <c r="BL11" s="112" t="s">
        <v>1750</v>
      </c>
      <c r="BM11" s="112">
        <v>1</v>
      </c>
      <c r="BN11" s="115">
        <v>2.5641025641025643</v>
      </c>
      <c r="BO11" s="112">
        <v>1</v>
      </c>
      <c r="BP11" s="115">
        <v>2.5641025641025643</v>
      </c>
      <c r="BQ11" s="112">
        <v>0</v>
      </c>
      <c r="BR11" s="115">
        <v>0</v>
      </c>
      <c r="BS11" s="112">
        <v>37</v>
      </c>
      <c r="BT11" s="115">
        <v>94.87179487179488</v>
      </c>
      <c r="BU11" s="112">
        <v>39</v>
      </c>
      <c r="BV11" s="2"/>
      <c r="BW11" s="3"/>
      <c r="BX11" s="3"/>
      <c r="BY11" s="3"/>
      <c r="BZ11" s="3"/>
    </row>
    <row r="12" spans="1:78" ht="41.45" customHeight="1">
      <c r="A12" s="66" t="s">
        <v>273</v>
      </c>
      <c r="C12" s="67"/>
      <c r="D12" s="67" t="s">
        <v>64</v>
      </c>
      <c r="E12" s="68">
        <v>198.1345058065025</v>
      </c>
      <c r="F12" s="70">
        <v>99.79457201720824</v>
      </c>
      <c r="G12" s="105" t="str">
        <f>HYPERLINK("https://pbs.twimg.com/profile_images/1162139708023029762/Hr_ZqPcm_normal.jpg")</f>
        <v>https://pbs.twimg.com/profile_images/1162139708023029762/Hr_ZqPcm_normal.jpg</v>
      </c>
      <c r="H12" s="67"/>
      <c r="I12" s="71" t="s">
        <v>273</v>
      </c>
      <c r="J12" s="72"/>
      <c r="K12" s="72"/>
      <c r="L12" s="71" t="s">
        <v>1303</v>
      </c>
      <c r="M12" s="75">
        <v>69.46229906506942</v>
      </c>
      <c r="N12" s="76">
        <v>1569.4332275390625</v>
      </c>
      <c r="O12" s="76">
        <v>5981.51318359375</v>
      </c>
      <c r="P12" s="77"/>
      <c r="Q12" s="78"/>
      <c r="R12" s="78"/>
      <c r="S12" s="91"/>
      <c r="T12" s="49">
        <v>15</v>
      </c>
      <c r="U12" s="49">
        <v>2</v>
      </c>
      <c r="V12" s="50">
        <v>119</v>
      </c>
      <c r="W12" s="50">
        <v>0.190618</v>
      </c>
      <c r="X12" s="50">
        <v>0.446733</v>
      </c>
      <c r="Y12" s="50">
        <v>0.018536</v>
      </c>
      <c r="Z12" s="50">
        <v>0.11904761904761904</v>
      </c>
      <c r="AA12" s="50">
        <v>0.13333333333333333</v>
      </c>
      <c r="AB12" s="73">
        <v>12</v>
      </c>
      <c r="AC12" s="73"/>
      <c r="AD12" s="74"/>
      <c r="AE12" s="81" t="s">
        <v>1023</v>
      </c>
      <c r="AF12" s="90" t="s">
        <v>1101</v>
      </c>
      <c r="AG12" s="81">
        <v>1735</v>
      </c>
      <c r="AH12" s="81">
        <v>2195</v>
      </c>
      <c r="AI12" s="81">
        <v>16451</v>
      </c>
      <c r="AJ12" s="81">
        <v>12179</v>
      </c>
      <c r="AK12" s="81"/>
      <c r="AL12" s="81" t="s">
        <v>1165</v>
      </c>
      <c r="AM12" s="81" t="s">
        <v>1241</v>
      </c>
      <c r="AN12" s="86" t="str">
        <f>HYPERLINK("https://t.co/F95z9rtuRx")</f>
        <v>https://t.co/F95z9rtuRx</v>
      </c>
      <c r="AO12" s="81"/>
      <c r="AP12" s="83">
        <v>41618.63591435185</v>
      </c>
      <c r="AQ12" s="81"/>
      <c r="AR12" s="81" t="b">
        <v>1</v>
      </c>
      <c r="AS12" s="81" t="b">
        <v>0</v>
      </c>
      <c r="AT12" s="81" t="b">
        <v>1</v>
      </c>
      <c r="AU12" s="81"/>
      <c r="AV12" s="81">
        <v>14</v>
      </c>
      <c r="AW12" s="86" t="str">
        <f>HYPERLINK("https://abs.twimg.com/images/themes/theme1/bg.png")</f>
        <v>https://abs.twimg.com/images/themes/theme1/bg.png</v>
      </c>
      <c r="AX12" s="81" t="b">
        <v>0</v>
      </c>
      <c r="AY12" s="81" t="s">
        <v>1294</v>
      </c>
      <c r="AZ12" s="86" t="str">
        <f>HYPERLINK("https://twitter.com/wayswithweirds")</f>
        <v>https://twitter.com/wayswithweirds</v>
      </c>
      <c r="BA12" s="81" t="s">
        <v>66</v>
      </c>
      <c r="BB12" s="81" t="str">
        <f>REPLACE(INDEX(GroupVertices[Group],MATCH(Vertices[[#This Row],[Vertex]],GroupVertices[Vertex],0)),1,1,"")</f>
        <v>1</v>
      </c>
      <c r="BC12" s="49" t="s">
        <v>1415</v>
      </c>
      <c r="BD12" s="49" t="s">
        <v>1415</v>
      </c>
      <c r="BE12" s="49" t="s">
        <v>523</v>
      </c>
      <c r="BF12" s="49" t="s">
        <v>523</v>
      </c>
      <c r="BG12" s="49"/>
      <c r="BH12" s="49"/>
      <c r="BI12" s="112" t="s">
        <v>1709</v>
      </c>
      <c r="BJ12" s="112" t="s">
        <v>1709</v>
      </c>
      <c r="BK12" s="112" t="s">
        <v>1751</v>
      </c>
      <c r="BL12" s="112" t="s">
        <v>1751</v>
      </c>
      <c r="BM12" s="112">
        <v>3</v>
      </c>
      <c r="BN12" s="115">
        <v>17.647058823529413</v>
      </c>
      <c r="BO12" s="112">
        <v>0</v>
      </c>
      <c r="BP12" s="115">
        <v>0</v>
      </c>
      <c r="BQ12" s="112">
        <v>0</v>
      </c>
      <c r="BR12" s="115">
        <v>0</v>
      </c>
      <c r="BS12" s="112">
        <v>14</v>
      </c>
      <c r="BT12" s="115">
        <v>82.3529411764706</v>
      </c>
      <c r="BU12" s="112">
        <v>17</v>
      </c>
      <c r="BV12" s="2"/>
      <c r="BW12" s="3"/>
      <c r="BX12" s="3"/>
      <c r="BY12" s="3"/>
      <c r="BZ12" s="3"/>
    </row>
    <row r="13" spans="1:78" ht="41.45" customHeight="1">
      <c r="A13" s="66" t="s">
        <v>275</v>
      </c>
      <c r="C13" s="67"/>
      <c r="D13" s="67" t="s">
        <v>64</v>
      </c>
      <c r="E13" s="68">
        <v>487.3096867051795</v>
      </c>
      <c r="F13" s="70">
        <v>98.15058456644394</v>
      </c>
      <c r="G13" s="105" t="str">
        <f>HYPERLINK("https://pbs.twimg.com/profile_images/1397721138025926658/evmo7otT_normal.jpg")</f>
        <v>https://pbs.twimg.com/profile_images/1397721138025926658/evmo7otT_normal.jpg</v>
      </c>
      <c r="H13" s="67"/>
      <c r="I13" s="71" t="s">
        <v>275</v>
      </c>
      <c r="J13" s="72"/>
      <c r="K13" s="72"/>
      <c r="L13" s="71" t="s">
        <v>1304</v>
      </c>
      <c r="M13" s="75">
        <v>617.3485168231147</v>
      </c>
      <c r="N13" s="76">
        <v>1566.2034912109375</v>
      </c>
      <c r="O13" s="76">
        <v>5162.25</v>
      </c>
      <c r="P13" s="77"/>
      <c r="Q13" s="78"/>
      <c r="R13" s="78"/>
      <c r="S13" s="91"/>
      <c r="T13" s="49">
        <v>13</v>
      </c>
      <c r="U13" s="49">
        <v>3</v>
      </c>
      <c r="V13" s="50">
        <v>30</v>
      </c>
      <c r="W13" s="50">
        <v>0.15431</v>
      </c>
      <c r="X13" s="50">
        <v>0.467989</v>
      </c>
      <c r="Y13" s="50">
        <v>0.016808</v>
      </c>
      <c r="Z13" s="50">
        <v>0.16666666666666666</v>
      </c>
      <c r="AA13" s="50">
        <v>0.16666666666666666</v>
      </c>
      <c r="AB13" s="73">
        <v>13</v>
      </c>
      <c r="AC13" s="73"/>
      <c r="AD13" s="74"/>
      <c r="AE13" s="81" t="s">
        <v>1024</v>
      </c>
      <c r="AF13" s="90" t="s">
        <v>1102</v>
      </c>
      <c r="AG13" s="81">
        <v>2721</v>
      </c>
      <c r="AH13" s="81">
        <v>19697</v>
      </c>
      <c r="AI13" s="81">
        <v>16132</v>
      </c>
      <c r="AJ13" s="81">
        <v>15147</v>
      </c>
      <c r="AK13" s="81"/>
      <c r="AL13" s="81" t="s">
        <v>1166</v>
      </c>
      <c r="AM13" s="81" t="s">
        <v>1242</v>
      </c>
      <c r="AN13" s="86" t="str">
        <f>HYPERLINK("https://t.co/RFFqMGceNn")</f>
        <v>https://t.co/RFFqMGceNn</v>
      </c>
      <c r="AO13" s="81"/>
      <c r="AP13" s="83">
        <v>40144.628657407404</v>
      </c>
      <c r="AQ13" s="86" t="str">
        <f>HYPERLINK("https://pbs.twimg.com/profile_banners/92985048/1622120897")</f>
        <v>https://pbs.twimg.com/profile_banners/92985048/1622120897</v>
      </c>
      <c r="AR13" s="81" t="b">
        <v>0</v>
      </c>
      <c r="AS13" s="81" t="b">
        <v>0</v>
      </c>
      <c r="AT13" s="81" t="b">
        <v>1</v>
      </c>
      <c r="AU13" s="81"/>
      <c r="AV13" s="81">
        <v>278</v>
      </c>
      <c r="AW13" s="86" t="str">
        <f>HYPERLINK("https://abs.twimg.com/images/themes/theme1/bg.png")</f>
        <v>https://abs.twimg.com/images/themes/theme1/bg.png</v>
      </c>
      <c r="AX13" s="81" t="b">
        <v>0</v>
      </c>
      <c r="AY13" s="81" t="s">
        <v>1294</v>
      </c>
      <c r="AZ13" s="86" t="str">
        <f>HYPERLINK("https://twitter.com/tweetbytheriver")</f>
        <v>https://twitter.com/tweetbytheriver</v>
      </c>
      <c r="BA13" s="81" t="s">
        <v>66</v>
      </c>
      <c r="BB13" s="81" t="str">
        <f>REPLACE(INDEX(GroupVertices[Group],MATCH(Vertices[[#This Row],[Vertex]],GroupVertices[Vertex],0)),1,1,"")</f>
        <v>1</v>
      </c>
      <c r="BC13" s="49" t="s">
        <v>1416</v>
      </c>
      <c r="BD13" s="49" t="s">
        <v>1416</v>
      </c>
      <c r="BE13" s="49" t="s">
        <v>522</v>
      </c>
      <c r="BF13" s="49" t="s">
        <v>522</v>
      </c>
      <c r="BG13" s="49"/>
      <c r="BH13" s="49"/>
      <c r="BI13" s="112" t="s">
        <v>1708</v>
      </c>
      <c r="BJ13" s="112" t="s">
        <v>1708</v>
      </c>
      <c r="BK13" s="112" t="s">
        <v>1750</v>
      </c>
      <c r="BL13" s="112" t="s">
        <v>1750</v>
      </c>
      <c r="BM13" s="112">
        <v>2</v>
      </c>
      <c r="BN13" s="115">
        <v>2.5641025641025643</v>
      </c>
      <c r="BO13" s="112">
        <v>2</v>
      </c>
      <c r="BP13" s="115">
        <v>2.5641025641025643</v>
      </c>
      <c r="BQ13" s="112">
        <v>0</v>
      </c>
      <c r="BR13" s="115">
        <v>0</v>
      </c>
      <c r="BS13" s="112">
        <v>74</v>
      </c>
      <c r="BT13" s="115">
        <v>94.87179487179488</v>
      </c>
      <c r="BU13" s="112">
        <v>78</v>
      </c>
      <c r="BV13" s="2"/>
      <c r="BW13" s="3"/>
      <c r="BX13" s="3"/>
      <c r="BY13" s="3"/>
      <c r="BZ13" s="3"/>
    </row>
    <row r="14" spans="1:78" ht="41.45" customHeight="1">
      <c r="A14" s="66" t="s">
        <v>253</v>
      </c>
      <c r="C14" s="67"/>
      <c r="D14" s="67" t="s">
        <v>64</v>
      </c>
      <c r="E14" s="68">
        <v>256.3759932175319</v>
      </c>
      <c r="F14" s="70">
        <v>99.46346381449173</v>
      </c>
      <c r="G14" s="105" t="str">
        <f>HYPERLINK("https://pbs.twimg.com/profile_images/1306641225144037381/gZVgMDar_normal.jpg")</f>
        <v>https://pbs.twimg.com/profile_images/1306641225144037381/gZVgMDar_normal.jpg</v>
      </c>
      <c r="H14" s="67"/>
      <c r="I14" s="71" t="s">
        <v>253</v>
      </c>
      <c r="J14" s="72"/>
      <c r="K14" s="72"/>
      <c r="L14" s="71" t="s">
        <v>1305</v>
      </c>
      <c r="M14" s="75">
        <v>179.80962609038707</v>
      </c>
      <c r="N14" s="76">
        <v>2362.831787109375</v>
      </c>
      <c r="O14" s="76">
        <v>7531.1875</v>
      </c>
      <c r="P14" s="77"/>
      <c r="Q14" s="78"/>
      <c r="R14" s="78"/>
      <c r="S14" s="91"/>
      <c r="T14" s="49">
        <v>0</v>
      </c>
      <c r="U14" s="49">
        <v>3</v>
      </c>
      <c r="V14" s="50">
        <v>0</v>
      </c>
      <c r="W14" s="50">
        <v>0.108017</v>
      </c>
      <c r="X14" s="50">
        <v>0.192209</v>
      </c>
      <c r="Y14" s="50">
        <v>0.011205</v>
      </c>
      <c r="Z14" s="50">
        <v>1</v>
      </c>
      <c r="AA14" s="50">
        <v>0</v>
      </c>
      <c r="AB14" s="73">
        <v>14</v>
      </c>
      <c r="AC14" s="73"/>
      <c r="AD14" s="74"/>
      <c r="AE14" s="81" t="s">
        <v>1025</v>
      </c>
      <c r="AF14" s="90" t="s">
        <v>1103</v>
      </c>
      <c r="AG14" s="81">
        <v>2696</v>
      </c>
      <c r="AH14" s="81">
        <v>5720</v>
      </c>
      <c r="AI14" s="81">
        <v>68311</v>
      </c>
      <c r="AJ14" s="81">
        <v>100491</v>
      </c>
      <c r="AK14" s="81"/>
      <c r="AL14" s="81" t="s">
        <v>1167</v>
      </c>
      <c r="AM14" s="81" t="s">
        <v>1243</v>
      </c>
      <c r="AN14" s="81"/>
      <c r="AO14" s="81"/>
      <c r="AP14" s="83">
        <v>44016.852326388886</v>
      </c>
      <c r="AQ14" s="86" t="str">
        <f>HYPERLINK("https://pbs.twimg.com/profile_banners/1279512071873409024/1631644517")</f>
        <v>https://pbs.twimg.com/profile_banners/1279512071873409024/1631644517</v>
      </c>
      <c r="AR14" s="81" t="b">
        <v>1</v>
      </c>
      <c r="AS14" s="81" t="b">
        <v>0</v>
      </c>
      <c r="AT14" s="81" t="b">
        <v>1</v>
      </c>
      <c r="AU14" s="81"/>
      <c r="AV14" s="81">
        <v>37</v>
      </c>
      <c r="AW14" s="81"/>
      <c r="AX14" s="81" t="b">
        <v>0</v>
      </c>
      <c r="AY14" s="81" t="s">
        <v>1294</v>
      </c>
      <c r="AZ14" s="86" t="str">
        <f>HYPERLINK("https://twitter.com/paulduanefilm")</f>
        <v>https://twitter.com/paulduanefilm</v>
      </c>
      <c r="BA14" s="81" t="s">
        <v>66</v>
      </c>
      <c r="BB14" s="81" t="str">
        <f>REPLACE(INDEX(GroupVertices[Group],MATCH(Vertices[[#This Row],[Vertex]],GroupVertices[Vertex],0)),1,1,"")</f>
        <v>1</v>
      </c>
      <c r="BC14" s="49" t="s">
        <v>1415</v>
      </c>
      <c r="BD14" s="49" t="s">
        <v>1415</v>
      </c>
      <c r="BE14" s="49" t="s">
        <v>523</v>
      </c>
      <c r="BF14" s="49" t="s">
        <v>523</v>
      </c>
      <c r="BG14" s="49"/>
      <c r="BH14" s="49"/>
      <c r="BI14" s="112" t="s">
        <v>1709</v>
      </c>
      <c r="BJ14" s="112" t="s">
        <v>1709</v>
      </c>
      <c r="BK14" s="112" t="s">
        <v>1751</v>
      </c>
      <c r="BL14" s="112" t="s">
        <v>1751</v>
      </c>
      <c r="BM14" s="112">
        <v>3</v>
      </c>
      <c r="BN14" s="115">
        <v>17.647058823529413</v>
      </c>
      <c r="BO14" s="112">
        <v>0</v>
      </c>
      <c r="BP14" s="115">
        <v>0</v>
      </c>
      <c r="BQ14" s="112">
        <v>0</v>
      </c>
      <c r="BR14" s="115">
        <v>0</v>
      </c>
      <c r="BS14" s="112">
        <v>14</v>
      </c>
      <c r="BT14" s="115">
        <v>82.3529411764706</v>
      </c>
      <c r="BU14" s="112">
        <v>17</v>
      </c>
      <c r="BV14" s="2"/>
      <c r="BW14" s="3"/>
      <c r="BX14" s="3"/>
      <c r="BY14" s="3"/>
      <c r="BZ14" s="3"/>
    </row>
    <row r="15" spans="1:78" ht="41.45" customHeight="1">
      <c r="A15" s="66" t="s">
        <v>254</v>
      </c>
      <c r="C15" s="67"/>
      <c r="D15" s="67" t="s">
        <v>64</v>
      </c>
      <c r="E15" s="68">
        <v>529.0618111555827</v>
      </c>
      <c r="F15" s="70">
        <v>97.91321990594335</v>
      </c>
      <c r="G15" s="105" t="str">
        <f>HYPERLINK("https://pbs.twimg.com/profile_images/318540325/grasshopper_trans_normal.png")</f>
        <v>https://pbs.twimg.com/profile_images/318540325/grasshopper_trans_normal.png</v>
      </c>
      <c r="H15" s="67"/>
      <c r="I15" s="71" t="s">
        <v>254</v>
      </c>
      <c r="J15" s="72"/>
      <c r="K15" s="72"/>
      <c r="L15" s="71" t="s">
        <v>1306</v>
      </c>
      <c r="M15" s="75">
        <v>696.4542460126119</v>
      </c>
      <c r="N15" s="76">
        <v>3072.91552734375</v>
      </c>
      <c r="O15" s="76">
        <v>4856.181640625</v>
      </c>
      <c r="P15" s="77"/>
      <c r="Q15" s="78"/>
      <c r="R15" s="78"/>
      <c r="S15" s="91"/>
      <c r="T15" s="49">
        <v>0</v>
      </c>
      <c r="U15" s="49">
        <v>2</v>
      </c>
      <c r="V15" s="50">
        <v>0</v>
      </c>
      <c r="W15" s="50">
        <v>0.104532</v>
      </c>
      <c r="X15" s="50">
        <v>0.125065</v>
      </c>
      <c r="Y15" s="50">
        <v>0.011011</v>
      </c>
      <c r="Z15" s="50">
        <v>1</v>
      </c>
      <c r="AA15" s="50">
        <v>0</v>
      </c>
      <c r="AB15" s="73">
        <v>15</v>
      </c>
      <c r="AC15" s="73"/>
      <c r="AD15" s="74"/>
      <c r="AE15" s="81" t="s">
        <v>1026</v>
      </c>
      <c r="AF15" s="90" t="s">
        <v>1104</v>
      </c>
      <c r="AG15" s="81">
        <v>10014</v>
      </c>
      <c r="AH15" s="81">
        <v>22224</v>
      </c>
      <c r="AI15" s="81">
        <v>25776</v>
      </c>
      <c r="AJ15" s="81">
        <v>4199</v>
      </c>
      <c r="AK15" s="81"/>
      <c r="AL15" s="81" t="s">
        <v>1168</v>
      </c>
      <c r="AM15" s="81" t="s">
        <v>1244</v>
      </c>
      <c r="AN15" s="86" t="str">
        <f>HYPERLINK("https://t.co/g6YZM9ocsG")</f>
        <v>https://t.co/g6YZM9ocsG</v>
      </c>
      <c r="AO15" s="81"/>
      <c r="AP15" s="83">
        <v>39569.72175925926</v>
      </c>
      <c r="AQ15" s="86" t="str">
        <f>HYPERLINK("https://pbs.twimg.com/profile_banners/14616784/1590957535")</f>
        <v>https://pbs.twimg.com/profile_banners/14616784/1590957535</v>
      </c>
      <c r="AR15" s="81" t="b">
        <v>0</v>
      </c>
      <c r="AS15" s="81" t="b">
        <v>0</v>
      </c>
      <c r="AT15" s="81" t="b">
        <v>1</v>
      </c>
      <c r="AU15" s="81"/>
      <c r="AV15" s="81">
        <v>1099</v>
      </c>
      <c r="AW15" s="86" t="str">
        <f>HYPERLINK("https://abs.twimg.com/images/themes/theme5/bg.gif")</f>
        <v>https://abs.twimg.com/images/themes/theme5/bg.gif</v>
      </c>
      <c r="AX15" s="81" t="b">
        <v>0</v>
      </c>
      <c r="AY15" s="81" t="s">
        <v>1294</v>
      </c>
      <c r="AZ15" s="86" t="str">
        <f>HYPERLINK("https://twitter.com/chelseagreen")</f>
        <v>https://twitter.com/chelseagreen</v>
      </c>
      <c r="BA15" s="81" t="s">
        <v>66</v>
      </c>
      <c r="BB15" s="81" t="str">
        <f>REPLACE(INDEX(GroupVertices[Group],MATCH(Vertices[[#This Row],[Vertex]],GroupVertices[Vertex],0)),1,1,"")</f>
        <v>1</v>
      </c>
      <c r="BC15" s="49" t="s">
        <v>1415</v>
      </c>
      <c r="BD15" s="49" t="s">
        <v>1415</v>
      </c>
      <c r="BE15" s="49" t="s">
        <v>523</v>
      </c>
      <c r="BF15" s="49" t="s">
        <v>523</v>
      </c>
      <c r="BG15" s="49"/>
      <c r="BH15" s="49"/>
      <c r="BI15" s="112" t="s">
        <v>1710</v>
      </c>
      <c r="BJ15" s="112" t="s">
        <v>1710</v>
      </c>
      <c r="BK15" s="112" t="s">
        <v>1752</v>
      </c>
      <c r="BL15" s="112" t="s">
        <v>1752</v>
      </c>
      <c r="BM15" s="112">
        <v>2</v>
      </c>
      <c r="BN15" s="115">
        <v>5.714285714285714</v>
      </c>
      <c r="BO15" s="112">
        <v>1</v>
      </c>
      <c r="BP15" s="115">
        <v>2.857142857142857</v>
      </c>
      <c r="BQ15" s="112">
        <v>0</v>
      </c>
      <c r="BR15" s="115">
        <v>0</v>
      </c>
      <c r="BS15" s="112">
        <v>32</v>
      </c>
      <c r="BT15" s="115">
        <v>91.42857142857143</v>
      </c>
      <c r="BU15" s="112">
        <v>35</v>
      </c>
      <c r="BV15" s="2"/>
      <c r="BW15" s="3"/>
      <c r="BX15" s="3"/>
      <c r="BY15" s="3"/>
      <c r="BZ15" s="3"/>
    </row>
    <row r="16" spans="1:78" ht="41.45" customHeight="1">
      <c r="A16" s="66" t="s">
        <v>255</v>
      </c>
      <c r="C16" s="67"/>
      <c r="D16" s="67" t="s">
        <v>64</v>
      </c>
      <c r="E16" s="68">
        <v>187.29580630532936</v>
      </c>
      <c r="F16" s="70">
        <v>99.85619101890526</v>
      </c>
      <c r="G16" s="105" t="str">
        <f>HYPERLINK("https://pbs.twimg.com/profile_images/1356215441732104204/bFWSOa_I_normal.jpg")</f>
        <v>https://pbs.twimg.com/profile_images/1356215441732104204/bFWSOa_I_normal.jpg</v>
      </c>
      <c r="H16" s="67"/>
      <c r="I16" s="71" t="s">
        <v>255</v>
      </c>
      <c r="J16" s="72"/>
      <c r="K16" s="72"/>
      <c r="L16" s="71" t="s">
        <v>1307</v>
      </c>
      <c r="M16" s="75">
        <v>48.92673976617342</v>
      </c>
      <c r="N16" s="76">
        <v>2772.884521484375</v>
      </c>
      <c r="O16" s="76">
        <v>6787.71630859375</v>
      </c>
      <c r="P16" s="77"/>
      <c r="Q16" s="78"/>
      <c r="R16" s="78"/>
      <c r="S16" s="91"/>
      <c r="T16" s="49">
        <v>0</v>
      </c>
      <c r="U16" s="49">
        <v>3</v>
      </c>
      <c r="V16" s="50">
        <v>0</v>
      </c>
      <c r="W16" s="50">
        <v>0.108017</v>
      </c>
      <c r="X16" s="50">
        <v>0.192209</v>
      </c>
      <c r="Y16" s="50">
        <v>0.011205</v>
      </c>
      <c r="Z16" s="50">
        <v>1</v>
      </c>
      <c r="AA16" s="50">
        <v>0</v>
      </c>
      <c r="AB16" s="73">
        <v>16</v>
      </c>
      <c r="AC16" s="73"/>
      <c r="AD16" s="74"/>
      <c r="AE16" s="81" t="s">
        <v>1027</v>
      </c>
      <c r="AF16" s="90" t="s">
        <v>1105</v>
      </c>
      <c r="AG16" s="81">
        <v>2859</v>
      </c>
      <c r="AH16" s="81">
        <v>1539</v>
      </c>
      <c r="AI16" s="81">
        <v>10492</v>
      </c>
      <c r="AJ16" s="81">
        <v>16853</v>
      </c>
      <c r="AK16" s="81"/>
      <c r="AL16" s="81" t="s">
        <v>1169</v>
      </c>
      <c r="AM16" s="81" t="s">
        <v>1245</v>
      </c>
      <c r="AN16" s="86" t="str">
        <f>HYPERLINK("https://t.co/PKxhrkrjQC")</f>
        <v>https://t.co/PKxhrkrjQC</v>
      </c>
      <c r="AO16" s="81"/>
      <c r="AP16" s="83">
        <v>39861.408171296294</v>
      </c>
      <c r="AQ16" s="86" t="str">
        <f>HYPERLINK("https://pbs.twimg.com/profile_banners/21077026/1538353079")</f>
        <v>https://pbs.twimg.com/profile_banners/21077026/1538353079</v>
      </c>
      <c r="AR16" s="81" t="b">
        <v>0</v>
      </c>
      <c r="AS16" s="81" t="b">
        <v>0</v>
      </c>
      <c r="AT16" s="81" t="b">
        <v>0</v>
      </c>
      <c r="AU16" s="81"/>
      <c r="AV16" s="81">
        <v>81</v>
      </c>
      <c r="AW16" s="86" t="str">
        <f>HYPERLINK("https://abs.twimg.com/images/themes/theme12/bg.gif")</f>
        <v>https://abs.twimg.com/images/themes/theme12/bg.gif</v>
      </c>
      <c r="AX16" s="81" t="b">
        <v>0</v>
      </c>
      <c r="AY16" s="81" t="s">
        <v>1294</v>
      </c>
      <c r="AZ16" s="86" t="str">
        <f>HYPERLINK("https://twitter.com/zloom")</f>
        <v>https://twitter.com/zloom</v>
      </c>
      <c r="BA16" s="81" t="s">
        <v>66</v>
      </c>
      <c r="BB16" s="81" t="str">
        <f>REPLACE(INDEX(GroupVertices[Group],MATCH(Vertices[[#This Row],[Vertex]],GroupVertices[Vertex],0)),1,1,"")</f>
        <v>1</v>
      </c>
      <c r="BC16" s="49" t="s">
        <v>1416</v>
      </c>
      <c r="BD16" s="49" t="s">
        <v>1416</v>
      </c>
      <c r="BE16" s="49" t="s">
        <v>522</v>
      </c>
      <c r="BF16" s="49" t="s">
        <v>522</v>
      </c>
      <c r="BG16" s="49"/>
      <c r="BH16" s="49"/>
      <c r="BI16" s="112" t="s">
        <v>1708</v>
      </c>
      <c r="BJ16" s="112" t="s">
        <v>1708</v>
      </c>
      <c r="BK16" s="112" t="s">
        <v>1750</v>
      </c>
      <c r="BL16" s="112" t="s">
        <v>1750</v>
      </c>
      <c r="BM16" s="112">
        <v>1</v>
      </c>
      <c r="BN16" s="115">
        <v>2.5641025641025643</v>
      </c>
      <c r="BO16" s="112">
        <v>1</v>
      </c>
      <c r="BP16" s="115">
        <v>2.5641025641025643</v>
      </c>
      <c r="BQ16" s="112">
        <v>0</v>
      </c>
      <c r="BR16" s="115">
        <v>0</v>
      </c>
      <c r="BS16" s="112">
        <v>37</v>
      </c>
      <c r="BT16" s="115">
        <v>94.87179487179488</v>
      </c>
      <c r="BU16" s="112">
        <v>39</v>
      </c>
      <c r="BV16" s="2"/>
      <c r="BW16" s="3"/>
      <c r="BX16" s="3"/>
      <c r="BY16" s="3"/>
      <c r="BZ16" s="3"/>
    </row>
    <row r="17" spans="1:78" ht="41.45" customHeight="1">
      <c r="A17" s="66" t="s">
        <v>256</v>
      </c>
      <c r="C17" s="67"/>
      <c r="D17" s="67" t="s">
        <v>64</v>
      </c>
      <c r="E17" s="68">
        <v>361.7559100139987</v>
      </c>
      <c r="F17" s="70">
        <v>98.86436931323618</v>
      </c>
      <c r="G17" s="105" t="str">
        <f>HYPERLINK("https://pbs.twimg.com/profile_images/1484165682698899457/aHZ3RT8b_normal.jpg")</f>
        <v>https://pbs.twimg.com/profile_images/1484165682698899457/aHZ3RT8b_normal.jpg</v>
      </c>
      <c r="H17" s="67"/>
      <c r="I17" s="71" t="s">
        <v>256</v>
      </c>
      <c r="J17" s="72"/>
      <c r="K17" s="72"/>
      <c r="L17" s="71" t="s">
        <v>1308</v>
      </c>
      <c r="M17" s="75">
        <v>379.4678535421533</v>
      </c>
      <c r="N17" s="76">
        <v>1837.3779296875</v>
      </c>
      <c r="O17" s="76">
        <v>3428.860595703125</v>
      </c>
      <c r="P17" s="77"/>
      <c r="Q17" s="78"/>
      <c r="R17" s="78"/>
      <c r="S17" s="91"/>
      <c r="T17" s="49">
        <v>0</v>
      </c>
      <c r="U17" s="49">
        <v>3</v>
      </c>
      <c r="V17" s="50">
        <v>0</v>
      </c>
      <c r="W17" s="50">
        <v>0.108017</v>
      </c>
      <c r="X17" s="50">
        <v>0.192209</v>
      </c>
      <c r="Y17" s="50">
        <v>0.011205</v>
      </c>
      <c r="Z17" s="50">
        <v>1</v>
      </c>
      <c r="AA17" s="50">
        <v>0</v>
      </c>
      <c r="AB17" s="73">
        <v>17</v>
      </c>
      <c r="AC17" s="73"/>
      <c r="AD17" s="74"/>
      <c r="AE17" s="81" t="s">
        <v>1028</v>
      </c>
      <c r="AF17" s="90" t="s">
        <v>1106</v>
      </c>
      <c r="AG17" s="81">
        <v>1213</v>
      </c>
      <c r="AH17" s="81">
        <v>12098</v>
      </c>
      <c r="AI17" s="81">
        <v>11309</v>
      </c>
      <c r="AJ17" s="81">
        <v>10085</v>
      </c>
      <c r="AK17" s="81"/>
      <c r="AL17" s="81" t="s">
        <v>1170</v>
      </c>
      <c r="AM17" s="81" t="s">
        <v>1240</v>
      </c>
      <c r="AN17" s="86" t="str">
        <f>HYPERLINK("https://t.co/F8NVPZ6cNS")</f>
        <v>https://t.co/F8NVPZ6cNS</v>
      </c>
      <c r="AO17" s="81"/>
      <c r="AP17" s="83">
        <v>40188.76393518518</v>
      </c>
      <c r="AQ17" s="81"/>
      <c r="AR17" s="81" t="b">
        <v>0</v>
      </c>
      <c r="AS17" s="81" t="b">
        <v>0</v>
      </c>
      <c r="AT17" s="81" t="b">
        <v>0</v>
      </c>
      <c r="AU17" s="81"/>
      <c r="AV17" s="81">
        <v>404</v>
      </c>
      <c r="AW17" s="86" t="str">
        <f>HYPERLINK("https://abs.twimg.com/images/themes/theme1/bg.png")</f>
        <v>https://abs.twimg.com/images/themes/theme1/bg.png</v>
      </c>
      <c r="AX17" s="81" t="b">
        <v>0</v>
      </c>
      <c r="AY17" s="81" t="s">
        <v>1294</v>
      </c>
      <c r="AZ17" s="86" t="str">
        <f>HYPERLINK("https://twitter.com/anastasiatl")</f>
        <v>https://twitter.com/anastasiatl</v>
      </c>
      <c r="BA17" s="81" t="s">
        <v>66</v>
      </c>
      <c r="BB17" s="81" t="str">
        <f>REPLACE(INDEX(GroupVertices[Group],MATCH(Vertices[[#This Row],[Vertex]],GroupVertices[Vertex],0)),1,1,"")</f>
        <v>1</v>
      </c>
      <c r="BC17" s="49" t="s">
        <v>1415</v>
      </c>
      <c r="BD17" s="49" t="s">
        <v>1415</v>
      </c>
      <c r="BE17" s="49" t="s">
        <v>523</v>
      </c>
      <c r="BF17" s="49" t="s">
        <v>523</v>
      </c>
      <c r="BG17" s="49"/>
      <c r="BH17" s="49"/>
      <c r="BI17" s="112" t="s">
        <v>1709</v>
      </c>
      <c r="BJ17" s="112" t="s">
        <v>1709</v>
      </c>
      <c r="BK17" s="112" t="s">
        <v>1751</v>
      </c>
      <c r="BL17" s="112" t="s">
        <v>1751</v>
      </c>
      <c r="BM17" s="112">
        <v>3</v>
      </c>
      <c r="BN17" s="115">
        <v>17.647058823529413</v>
      </c>
      <c r="BO17" s="112">
        <v>0</v>
      </c>
      <c r="BP17" s="115">
        <v>0</v>
      </c>
      <c r="BQ17" s="112">
        <v>0</v>
      </c>
      <c r="BR17" s="115">
        <v>0</v>
      </c>
      <c r="BS17" s="112">
        <v>14</v>
      </c>
      <c r="BT17" s="115">
        <v>82.3529411764706</v>
      </c>
      <c r="BU17" s="112">
        <v>17</v>
      </c>
      <c r="BV17" s="2"/>
      <c r="BW17" s="3"/>
      <c r="BX17" s="3"/>
      <c r="BY17" s="3"/>
      <c r="BZ17" s="3"/>
    </row>
    <row r="18" spans="1:78" ht="41.45" customHeight="1">
      <c r="A18" s="66" t="s">
        <v>257</v>
      </c>
      <c r="C18" s="67"/>
      <c r="D18" s="67" t="s">
        <v>64</v>
      </c>
      <c r="E18" s="68">
        <v>282.1013821250419</v>
      </c>
      <c r="F18" s="70">
        <v>99.31721261686633</v>
      </c>
      <c r="G18" s="105" t="str">
        <f>HYPERLINK("https://pbs.twimg.com/profile_images/1479896259884466176/zNnjhXDe_normal.jpg")</f>
        <v>https://pbs.twimg.com/profile_images/1479896259884466176/zNnjhXDe_normal.jpg</v>
      </c>
      <c r="H18" s="67"/>
      <c r="I18" s="71" t="s">
        <v>257</v>
      </c>
      <c r="J18" s="72"/>
      <c r="K18" s="72"/>
      <c r="L18" s="71" t="s">
        <v>1309</v>
      </c>
      <c r="M18" s="75">
        <v>228.55027521901673</v>
      </c>
      <c r="N18" s="76">
        <v>1204.9407958984375</v>
      </c>
      <c r="O18" s="76">
        <v>3544.447998046875</v>
      </c>
      <c r="P18" s="77"/>
      <c r="Q18" s="78"/>
      <c r="R18" s="78"/>
      <c r="S18" s="91"/>
      <c r="T18" s="49">
        <v>0</v>
      </c>
      <c r="U18" s="49">
        <v>3</v>
      </c>
      <c r="V18" s="50">
        <v>0</v>
      </c>
      <c r="W18" s="50">
        <v>0.108017</v>
      </c>
      <c r="X18" s="50">
        <v>0.192209</v>
      </c>
      <c r="Y18" s="50">
        <v>0.011205</v>
      </c>
      <c r="Z18" s="50">
        <v>1</v>
      </c>
      <c r="AA18" s="50">
        <v>0</v>
      </c>
      <c r="AB18" s="73">
        <v>18</v>
      </c>
      <c r="AC18" s="73"/>
      <c r="AD18" s="74"/>
      <c r="AE18" s="81" t="s">
        <v>1029</v>
      </c>
      <c r="AF18" s="90" t="s">
        <v>1107</v>
      </c>
      <c r="AG18" s="81">
        <v>1875</v>
      </c>
      <c r="AH18" s="81">
        <v>7277</v>
      </c>
      <c r="AI18" s="81">
        <v>43499</v>
      </c>
      <c r="AJ18" s="81">
        <v>71506</v>
      </c>
      <c r="AK18" s="81"/>
      <c r="AL18" s="81" t="s">
        <v>1171</v>
      </c>
      <c r="AM18" s="81" t="s">
        <v>1246</v>
      </c>
      <c r="AN18" s="86" t="str">
        <f>HYPERLINK("https://t.co/hjW6dndual")</f>
        <v>https://t.co/hjW6dndual</v>
      </c>
      <c r="AO18" s="81"/>
      <c r="AP18" s="83">
        <v>42066.814479166664</v>
      </c>
      <c r="AQ18" s="86" t="str">
        <f>HYPERLINK("https://pbs.twimg.com/profile_banners/3068515515/1654633806")</f>
        <v>https://pbs.twimg.com/profile_banners/3068515515/1654633806</v>
      </c>
      <c r="AR18" s="81" t="b">
        <v>0</v>
      </c>
      <c r="AS18" s="81" t="b">
        <v>0</v>
      </c>
      <c r="AT18" s="81" t="b">
        <v>0</v>
      </c>
      <c r="AU18" s="81"/>
      <c r="AV18" s="81">
        <v>73</v>
      </c>
      <c r="AW18" s="86" t="str">
        <f>HYPERLINK("https://abs.twimg.com/images/themes/theme1/bg.png")</f>
        <v>https://abs.twimg.com/images/themes/theme1/bg.png</v>
      </c>
      <c r="AX18" s="81" t="b">
        <v>0</v>
      </c>
      <c r="AY18" s="81" t="s">
        <v>1294</v>
      </c>
      <c r="AZ18" s="86" t="str">
        <f>HYPERLINK("https://twitter.com/nicolawriting")</f>
        <v>https://twitter.com/nicolawriting</v>
      </c>
      <c r="BA18" s="81" t="s">
        <v>66</v>
      </c>
      <c r="BB18" s="81" t="str">
        <f>REPLACE(INDEX(GroupVertices[Group],MATCH(Vertices[[#This Row],[Vertex]],GroupVertices[Vertex],0)),1,1,"")</f>
        <v>1</v>
      </c>
      <c r="BC18" s="49" t="s">
        <v>1415</v>
      </c>
      <c r="BD18" s="49" t="s">
        <v>1415</v>
      </c>
      <c r="BE18" s="49" t="s">
        <v>523</v>
      </c>
      <c r="BF18" s="49" t="s">
        <v>523</v>
      </c>
      <c r="BG18" s="49"/>
      <c r="BH18" s="49"/>
      <c r="BI18" s="112" t="s">
        <v>1709</v>
      </c>
      <c r="BJ18" s="112" t="s">
        <v>1709</v>
      </c>
      <c r="BK18" s="112" t="s">
        <v>1751</v>
      </c>
      <c r="BL18" s="112" t="s">
        <v>1751</v>
      </c>
      <c r="BM18" s="112">
        <v>3</v>
      </c>
      <c r="BN18" s="115">
        <v>17.647058823529413</v>
      </c>
      <c r="BO18" s="112">
        <v>0</v>
      </c>
      <c r="BP18" s="115">
        <v>0</v>
      </c>
      <c r="BQ18" s="112">
        <v>0</v>
      </c>
      <c r="BR18" s="115">
        <v>0</v>
      </c>
      <c r="BS18" s="112">
        <v>14</v>
      </c>
      <c r="BT18" s="115">
        <v>82.3529411764706</v>
      </c>
      <c r="BU18" s="112">
        <v>17</v>
      </c>
      <c r="BV18" s="2"/>
      <c r="BW18" s="3"/>
      <c r="BX18" s="3"/>
      <c r="BY18" s="3"/>
      <c r="BZ18" s="3"/>
    </row>
    <row r="19" spans="1:78" ht="41.45" customHeight="1">
      <c r="A19" s="66" t="s">
        <v>258</v>
      </c>
      <c r="C19" s="67"/>
      <c r="D19" s="67" t="s">
        <v>64</v>
      </c>
      <c r="E19" s="68">
        <v>261.18401388039985</v>
      </c>
      <c r="F19" s="70">
        <v>99.43612977562918</v>
      </c>
      <c r="G19" s="105" t="str">
        <f>HYPERLINK("https://pbs.twimg.com/profile_images/3532899383/72ed4457846b089b9d75b71df28c67ad_normal.jpeg")</f>
        <v>https://pbs.twimg.com/profile_images/3532899383/72ed4457846b089b9d75b71df28c67ad_normal.jpeg</v>
      </c>
      <c r="H19" s="67"/>
      <c r="I19" s="71" t="s">
        <v>258</v>
      </c>
      <c r="J19" s="72"/>
      <c r="K19" s="72"/>
      <c r="L19" s="71" t="s">
        <v>1310</v>
      </c>
      <c r="M19" s="75">
        <v>188.91915010864733</v>
      </c>
      <c r="N19" s="76">
        <v>2428.77734375</v>
      </c>
      <c r="O19" s="76">
        <v>3927.13916015625</v>
      </c>
      <c r="P19" s="77"/>
      <c r="Q19" s="78"/>
      <c r="R19" s="78"/>
      <c r="S19" s="91"/>
      <c r="T19" s="49">
        <v>0</v>
      </c>
      <c r="U19" s="49">
        <v>3</v>
      </c>
      <c r="V19" s="50">
        <v>0</v>
      </c>
      <c r="W19" s="50">
        <v>0.108017</v>
      </c>
      <c r="X19" s="50">
        <v>0.192209</v>
      </c>
      <c r="Y19" s="50">
        <v>0.011205</v>
      </c>
      <c r="Z19" s="50">
        <v>1</v>
      </c>
      <c r="AA19" s="50">
        <v>0</v>
      </c>
      <c r="AB19" s="73">
        <v>19</v>
      </c>
      <c r="AC19" s="73"/>
      <c r="AD19" s="74"/>
      <c r="AE19" s="81" t="s">
        <v>1030</v>
      </c>
      <c r="AF19" s="90" t="s">
        <v>1108</v>
      </c>
      <c r="AG19" s="81">
        <v>6566</v>
      </c>
      <c r="AH19" s="81">
        <v>6011</v>
      </c>
      <c r="AI19" s="81">
        <v>166686</v>
      </c>
      <c r="AJ19" s="81">
        <v>106460</v>
      </c>
      <c r="AK19" s="81"/>
      <c r="AL19" s="81" t="s">
        <v>1172</v>
      </c>
      <c r="AM19" s="81" t="s">
        <v>1247</v>
      </c>
      <c r="AN19" s="86" t="str">
        <f>HYPERLINK("https://t.co/qcRVLIYpt7")</f>
        <v>https://t.co/qcRVLIYpt7</v>
      </c>
      <c r="AO19" s="81"/>
      <c r="AP19" s="83">
        <v>39591.59483796296</v>
      </c>
      <c r="AQ19" s="86" t="str">
        <f>HYPERLINK("https://pbs.twimg.com/profile_banners/14881877/1642714181")</f>
        <v>https://pbs.twimg.com/profile_banners/14881877/1642714181</v>
      </c>
      <c r="AR19" s="81" t="b">
        <v>0</v>
      </c>
      <c r="AS19" s="81" t="b">
        <v>0</v>
      </c>
      <c r="AT19" s="81" t="b">
        <v>1</v>
      </c>
      <c r="AU19" s="81"/>
      <c r="AV19" s="81">
        <v>265</v>
      </c>
      <c r="AW19" s="86" t="str">
        <f>HYPERLINK("https://abs.twimg.com/images/themes/theme1/bg.png")</f>
        <v>https://abs.twimg.com/images/themes/theme1/bg.png</v>
      </c>
      <c r="AX19" s="81" t="b">
        <v>0</v>
      </c>
      <c r="AY19" s="81" t="s">
        <v>1294</v>
      </c>
      <c r="AZ19" s="86" t="str">
        <f>HYPERLINK("https://twitter.com/dansumption")</f>
        <v>https://twitter.com/dansumption</v>
      </c>
      <c r="BA19" s="81" t="s">
        <v>66</v>
      </c>
      <c r="BB19" s="81" t="str">
        <f>REPLACE(INDEX(GroupVertices[Group],MATCH(Vertices[[#This Row],[Vertex]],GroupVertices[Vertex],0)),1,1,"")</f>
        <v>1</v>
      </c>
      <c r="BC19" s="49" t="s">
        <v>1415</v>
      </c>
      <c r="BD19" s="49" t="s">
        <v>1415</v>
      </c>
      <c r="BE19" s="49" t="s">
        <v>523</v>
      </c>
      <c r="BF19" s="49" t="s">
        <v>523</v>
      </c>
      <c r="BG19" s="49"/>
      <c r="BH19" s="49"/>
      <c r="BI19" s="112" t="s">
        <v>1709</v>
      </c>
      <c r="BJ19" s="112" t="s">
        <v>1709</v>
      </c>
      <c r="BK19" s="112" t="s">
        <v>1751</v>
      </c>
      <c r="BL19" s="112" t="s">
        <v>1751</v>
      </c>
      <c r="BM19" s="112">
        <v>3</v>
      </c>
      <c r="BN19" s="115">
        <v>17.647058823529413</v>
      </c>
      <c r="BO19" s="112">
        <v>0</v>
      </c>
      <c r="BP19" s="115">
        <v>0</v>
      </c>
      <c r="BQ19" s="112">
        <v>0</v>
      </c>
      <c r="BR19" s="115">
        <v>0</v>
      </c>
      <c r="BS19" s="112">
        <v>14</v>
      </c>
      <c r="BT19" s="115">
        <v>82.3529411764706</v>
      </c>
      <c r="BU19" s="112">
        <v>17</v>
      </c>
      <c r="BV19" s="2"/>
      <c r="BW19" s="3"/>
      <c r="BX19" s="3"/>
      <c r="BY19" s="3"/>
      <c r="BZ19" s="3"/>
    </row>
    <row r="20" spans="1:78" ht="41.45" customHeight="1">
      <c r="A20" s="66" t="s">
        <v>259</v>
      </c>
      <c r="C20" s="67"/>
      <c r="D20" s="67" t="s">
        <v>64</v>
      </c>
      <c r="E20" s="68">
        <v>165.3210039630119</v>
      </c>
      <c r="F20" s="70">
        <v>99.98111978758978</v>
      </c>
      <c r="G20" s="105" t="str">
        <f>HYPERLINK("https://pbs.twimg.com/profile_images/82163422/150x150diese_normal.jpg")</f>
        <v>https://pbs.twimg.com/profile_images/82163422/150x150diese_normal.jpg</v>
      </c>
      <c r="H20" s="67"/>
      <c r="I20" s="71" t="s">
        <v>259</v>
      </c>
      <c r="J20" s="72"/>
      <c r="K20" s="72"/>
      <c r="L20" s="71" t="s">
        <v>1311</v>
      </c>
      <c r="M20" s="75">
        <v>7.292145455911729</v>
      </c>
      <c r="N20" s="76">
        <v>709.2305297851562</v>
      </c>
      <c r="O20" s="76">
        <v>4140.2158203125</v>
      </c>
      <c r="P20" s="77"/>
      <c r="Q20" s="78"/>
      <c r="R20" s="78"/>
      <c r="S20" s="91"/>
      <c r="T20" s="49">
        <v>0</v>
      </c>
      <c r="U20" s="49">
        <v>3</v>
      </c>
      <c r="V20" s="50">
        <v>0</v>
      </c>
      <c r="W20" s="50">
        <v>0.108017</v>
      </c>
      <c r="X20" s="50">
        <v>0.192209</v>
      </c>
      <c r="Y20" s="50">
        <v>0.011205</v>
      </c>
      <c r="Z20" s="50">
        <v>1</v>
      </c>
      <c r="AA20" s="50">
        <v>0</v>
      </c>
      <c r="AB20" s="73">
        <v>20</v>
      </c>
      <c r="AC20" s="73"/>
      <c r="AD20" s="74"/>
      <c r="AE20" s="81" t="s">
        <v>1031</v>
      </c>
      <c r="AF20" s="90" t="s">
        <v>1109</v>
      </c>
      <c r="AG20" s="81">
        <v>380</v>
      </c>
      <c r="AH20" s="81">
        <v>209</v>
      </c>
      <c r="AI20" s="81">
        <v>3198</v>
      </c>
      <c r="AJ20" s="81">
        <v>2202</v>
      </c>
      <c r="AK20" s="81"/>
      <c r="AL20" s="81" t="s">
        <v>1173</v>
      </c>
      <c r="AM20" s="81" t="s">
        <v>1248</v>
      </c>
      <c r="AN20" s="86" t="str">
        <f>HYPERLINK("https://t.co/Hjmu46NATD")</f>
        <v>https://t.co/Hjmu46NATD</v>
      </c>
      <c r="AO20" s="81"/>
      <c r="AP20" s="83">
        <v>39868.4621412037</v>
      </c>
      <c r="AQ20" s="86" t="str">
        <f>HYPERLINK("https://pbs.twimg.com/profile_banners/21744961/1634934527")</f>
        <v>https://pbs.twimg.com/profile_banners/21744961/1634934527</v>
      </c>
      <c r="AR20" s="81" t="b">
        <v>0</v>
      </c>
      <c r="AS20" s="81" t="b">
        <v>0</v>
      </c>
      <c r="AT20" s="81" t="b">
        <v>0</v>
      </c>
      <c r="AU20" s="81"/>
      <c r="AV20" s="81">
        <v>11</v>
      </c>
      <c r="AW20" s="86" t="str">
        <f>HYPERLINK("https://abs.twimg.com/images/themes/theme9/bg.gif")</f>
        <v>https://abs.twimg.com/images/themes/theme9/bg.gif</v>
      </c>
      <c r="AX20" s="81" t="b">
        <v>0</v>
      </c>
      <c r="AY20" s="81" t="s">
        <v>1294</v>
      </c>
      <c r="AZ20" s="86" t="str">
        <f>HYPERLINK("https://twitter.com/originalsyna")</f>
        <v>https://twitter.com/originalsyna</v>
      </c>
      <c r="BA20" s="81" t="s">
        <v>66</v>
      </c>
      <c r="BB20" s="81" t="str">
        <f>REPLACE(INDEX(GroupVertices[Group],MATCH(Vertices[[#This Row],[Vertex]],GroupVertices[Vertex],0)),1,1,"")</f>
        <v>1</v>
      </c>
      <c r="BC20" s="49" t="s">
        <v>1415</v>
      </c>
      <c r="BD20" s="49" t="s">
        <v>1415</v>
      </c>
      <c r="BE20" s="49" t="s">
        <v>523</v>
      </c>
      <c r="BF20" s="49" t="s">
        <v>523</v>
      </c>
      <c r="BG20" s="49"/>
      <c r="BH20" s="49"/>
      <c r="BI20" s="112" t="s">
        <v>1709</v>
      </c>
      <c r="BJ20" s="112" t="s">
        <v>1709</v>
      </c>
      <c r="BK20" s="112" t="s">
        <v>1751</v>
      </c>
      <c r="BL20" s="112" t="s">
        <v>1751</v>
      </c>
      <c r="BM20" s="112">
        <v>3</v>
      </c>
      <c r="BN20" s="115">
        <v>17.647058823529413</v>
      </c>
      <c r="BO20" s="112">
        <v>0</v>
      </c>
      <c r="BP20" s="115">
        <v>0</v>
      </c>
      <c r="BQ20" s="112">
        <v>0</v>
      </c>
      <c r="BR20" s="115">
        <v>0</v>
      </c>
      <c r="BS20" s="112">
        <v>14</v>
      </c>
      <c r="BT20" s="115">
        <v>82.3529411764706</v>
      </c>
      <c r="BU20" s="112">
        <v>17</v>
      </c>
      <c r="BV20" s="2"/>
      <c r="BW20" s="3"/>
      <c r="BX20" s="3"/>
      <c r="BY20" s="3"/>
      <c r="BZ20" s="3"/>
    </row>
    <row r="21" spans="1:78" ht="41.45" customHeight="1">
      <c r="A21" s="66" t="s">
        <v>260</v>
      </c>
      <c r="C21" s="67"/>
      <c r="D21" s="67" t="s">
        <v>64</v>
      </c>
      <c r="E21" s="68">
        <v>169.6994420236992</v>
      </c>
      <c r="F21" s="70">
        <v>99.95622796525791</v>
      </c>
      <c r="G21" s="105" t="str">
        <f>HYPERLINK("https://pbs.twimg.com/profile_images/1270971586020081664/tsUjPaOx_normal.jpg")</f>
        <v>https://pbs.twimg.com/profile_images/1270971586020081664/tsUjPaOx_normal.jpg</v>
      </c>
      <c r="H21" s="67"/>
      <c r="I21" s="71" t="s">
        <v>260</v>
      </c>
      <c r="J21" s="72"/>
      <c r="K21" s="72"/>
      <c r="L21" s="71" t="s">
        <v>1312</v>
      </c>
      <c r="M21" s="75">
        <v>15.58776011171575</v>
      </c>
      <c r="N21" s="76">
        <v>7179.93359375</v>
      </c>
      <c r="O21" s="76">
        <v>2032.429443359375</v>
      </c>
      <c r="P21" s="77"/>
      <c r="Q21" s="78"/>
      <c r="R21" s="78"/>
      <c r="S21" s="91"/>
      <c r="T21" s="49">
        <v>2</v>
      </c>
      <c r="U21" s="49">
        <v>1</v>
      </c>
      <c r="V21" s="50">
        <v>0</v>
      </c>
      <c r="W21" s="50">
        <v>0.012658</v>
      </c>
      <c r="X21" s="50">
        <v>0</v>
      </c>
      <c r="Y21" s="50">
        <v>0.013372</v>
      </c>
      <c r="Z21" s="50">
        <v>0</v>
      </c>
      <c r="AA21" s="50">
        <v>0</v>
      </c>
      <c r="AB21" s="73">
        <v>21</v>
      </c>
      <c r="AC21" s="73"/>
      <c r="AD21" s="74"/>
      <c r="AE21" s="81" t="s">
        <v>1032</v>
      </c>
      <c r="AF21" s="90" t="s">
        <v>1110</v>
      </c>
      <c r="AG21" s="81">
        <v>833</v>
      </c>
      <c r="AH21" s="81">
        <v>474</v>
      </c>
      <c r="AI21" s="81">
        <v>2840</v>
      </c>
      <c r="AJ21" s="81">
        <v>1693</v>
      </c>
      <c r="AK21" s="81"/>
      <c r="AL21" s="81" t="s">
        <v>1174</v>
      </c>
      <c r="AM21" s="81" t="s">
        <v>1249</v>
      </c>
      <c r="AN21" s="86" t="str">
        <f>HYPERLINK("https://t.co/UEwaDauaHP")</f>
        <v>https://t.co/UEwaDauaHP</v>
      </c>
      <c r="AO21" s="81"/>
      <c r="AP21" s="83">
        <v>41308.39978009259</v>
      </c>
      <c r="AQ21" s="86" t="str">
        <f>HYPERLINK("https://pbs.twimg.com/profile_banners/1144708070/1613323262")</f>
        <v>https://pbs.twimg.com/profile_banners/1144708070/1613323262</v>
      </c>
      <c r="AR21" s="81" t="b">
        <v>0</v>
      </c>
      <c r="AS21" s="81" t="b">
        <v>0</v>
      </c>
      <c r="AT21" s="81" t="b">
        <v>0</v>
      </c>
      <c r="AU21" s="81"/>
      <c r="AV21" s="81">
        <v>23</v>
      </c>
      <c r="AW21" s="86" t="str">
        <f>HYPERLINK("https://abs.twimg.com/images/themes/theme14/bg.gif")</f>
        <v>https://abs.twimg.com/images/themes/theme14/bg.gif</v>
      </c>
      <c r="AX21" s="81" t="b">
        <v>0</v>
      </c>
      <c r="AY21" s="81" t="s">
        <v>1294</v>
      </c>
      <c r="AZ21" s="86" t="str">
        <f>HYPERLINK("https://twitter.com/jpt_paris")</f>
        <v>https://twitter.com/jpt_paris</v>
      </c>
      <c r="BA21" s="81" t="s">
        <v>66</v>
      </c>
      <c r="BB21" s="81" t="str">
        <f>REPLACE(INDEX(GroupVertices[Group],MATCH(Vertices[[#This Row],[Vertex]],GroupVertices[Vertex],0)),1,1,"")</f>
        <v>19</v>
      </c>
      <c r="BC21" s="49" t="s">
        <v>1421</v>
      </c>
      <c r="BD21" s="49" t="s">
        <v>1421</v>
      </c>
      <c r="BE21" s="49" t="s">
        <v>524</v>
      </c>
      <c r="BF21" s="49" t="s">
        <v>524</v>
      </c>
      <c r="BG21" s="49" t="s">
        <v>532</v>
      </c>
      <c r="BH21" s="49" t="s">
        <v>532</v>
      </c>
      <c r="BI21" s="112" t="s">
        <v>1560</v>
      </c>
      <c r="BJ21" s="112" t="s">
        <v>1560</v>
      </c>
      <c r="BK21" s="112" t="s">
        <v>1630</v>
      </c>
      <c r="BL21" s="112" t="s">
        <v>1630</v>
      </c>
      <c r="BM21" s="112">
        <v>0</v>
      </c>
      <c r="BN21" s="115">
        <v>0</v>
      </c>
      <c r="BO21" s="112">
        <v>1</v>
      </c>
      <c r="BP21" s="115">
        <v>5.882352941176471</v>
      </c>
      <c r="BQ21" s="112">
        <v>0</v>
      </c>
      <c r="BR21" s="115">
        <v>0</v>
      </c>
      <c r="BS21" s="112">
        <v>16</v>
      </c>
      <c r="BT21" s="115">
        <v>94.11764705882354</v>
      </c>
      <c r="BU21" s="112">
        <v>17</v>
      </c>
      <c r="BV21" s="2"/>
      <c r="BW21" s="3"/>
      <c r="BX21" s="3"/>
      <c r="BY21" s="3"/>
      <c r="BZ21" s="3"/>
    </row>
    <row r="22" spans="1:78" ht="41.45" customHeight="1">
      <c r="A22" s="66" t="s">
        <v>261</v>
      </c>
      <c r="C22" s="67"/>
      <c r="D22" s="67" t="s">
        <v>64</v>
      </c>
      <c r="E22" s="68">
        <v>247.18953449397662</v>
      </c>
      <c r="F22" s="70">
        <v>99.51568967568618</v>
      </c>
      <c r="G22" s="105" t="str">
        <f>HYPERLINK("https://pbs.twimg.com/profile_images/820524830994874368/hR9W9CTy_normal.jpg")</f>
        <v>https://pbs.twimg.com/profile_images/820524830994874368/hR9W9CTy_normal.jpg</v>
      </c>
      <c r="H22" s="67"/>
      <c r="I22" s="71" t="s">
        <v>261</v>
      </c>
      <c r="J22" s="72"/>
      <c r="K22" s="72"/>
      <c r="L22" s="71" t="s">
        <v>1313</v>
      </c>
      <c r="M22" s="75">
        <v>162.40448741632278</v>
      </c>
      <c r="N22" s="76">
        <v>7179.93359375</v>
      </c>
      <c r="O22" s="76">
        <v>898.6932983398438</v>
      </c>
      <c r="P22" s="77"/>
      <c r="Q22" s="78"/>
      <c r="R22" s="78"/>
      <c r="S22" s="91"/>
      <c r="T22" s="49">
        <v>0</v>
      </c>
      <c r="U22" s="49">
        <v>1</v>
      </c>
      <c r="V22" s="50">
        <v>0</v>
      </c>
      <c r="W22" s="50">
        <v>0.012658</v>
      </c>
      <c r="X22" s="50">
        <v>0</v>
      </c>
      <c r="Y22" s="50">
        <v>0.011628</v>
      </c>
      <c r="Z22" s="50">
        <v>0</v>
      </c>
      <c r="AA22" s="50">
        <v>0</v>
      </c>
      <c r="AB22" s="73">
        <v>22</v>
      </c>
      <c r="AC22" s="73"/>
      <c r="AD22" s="74"/>
      <c r="AE22" s="81" t="s">
        <v>1033</v>
      </c>
      <c r="AF22" s="90" t="s">
        <v>1111</v>
      </c>
      <c r="AG22" s="81">
        <v>177</v>
      </c>
      <c r="AH22" s="81">
        <v>5164</v>
      </c>
      <c r="AI22" s="81">
        <v>159608</v>
      </c>
      <c r="AJ22" s="81">
        <v>730</v>
      </c>
      <c r="AK22" s="81"/>
      <c r="AL22" s="81" t="s">
        <v>1175</v>
      </c>
      <c r="AM22" s="81" t="s">
        <v>1250</v>
      </c>
      <c r="AN22" s="81"/>
      <c r="AO22" s="81"/>
      <c r="AP22" s="83">
        <v>42750.262407407405</v>
      </c>
      <c r="AQ22" s="86" t="str">
        <f>HYPERLINK("https://pbs.twimg.com/profile_banners/820515322763558912/1484463558")</f>
        <v>https://pbs.twimg.com/profile_banners/820515322763558912/1484463558</v>
      </c>
      <c r="AR22" s="81" t="b">
        <v>0</v>
      </c>
      <c r="AS22" s="81" t="b">
        <v>0</v>
      </c>
      <c r="AT22" s="81" t="b">
        <v>0</v>
      </c>
      <c r="AU22" s="81"/>
      <c r="AV22" s="81">
        <v>104</v>
      </c>
      <c r="AW22" s="86" t="str">
        <f>HYPERLINK("https://abs.twimg.com/images/themes/theme1/bg.png")</f>
        <v>https://abs.twimg.com/images/themes/theme1/bg.png</v>
      </c>
      <c r="AX22" s="81" t="b">
        <v>0</v>
      </c>
      <c r="AY22" s="81" t="s">
        <v>1294</v>
      </c>
      <c r="AZ22" s="86" t="str">
        <f>HYPERLINK("https://twitter.com/vinyl_for_life")</f>
        <v>https://twitter.com/vinyl_for_life</v>
      </c>
      <c r="BA22" s="81" t="s">
        <v>66</v>
      </c>
      <c r="BB22" s="81" t="str">
        <f>REPLACE(INDEX(GroupVertices[Group],MATCH(Vertices[[#This Row],[Vertex]],GroupVertices[Vertex],0)),1,1,"")</f>
        <v>19</v>
      </c>
      <c r="BC22" s="49" t="s">
        <v>1421</v>
      </c>
      <c r="BD22" s="49" t="s">
        <v>1421</v>
      </c>
      <c r="BE22" s="49" t="s">
        <v>524</v>
      </c>
      <c r="BF22" s="49" t="s">
        <v>524</v>
      </c>
      <c r="BG22" s="49" t="s">
        <v>533</v>
      </c>
      <c r="BH22" s="49" t="s">
        <v>533</v>
      </c>
      <c r="BI22" s="112" t="s">
        <v>1560</v>
      </c>
      <c r="BJ22" s="112" t="s">
        <v>1560</v>
      </c>
      <c r="BK22" s="112" t="s">
        <v>1630</v>
      </c>
      <c r="BL22" s="112" t="s">
        <v>1630</v>
      </c>
      <c r="BM22" s="112">
        <v>0</v>
      </c>
      <c r="BN22" s="115">
        <v>0</v>
      </c>
      <c r="BO22" s="112">
        <v>1</v>
      </c>
      <c r="BP22" s="115">
        <v>5.882352941176471</v>
      </c>
      <c r="BQ22" s="112">
        <v>0</v>
      </c>
      <c r="BR22" s="115">
        <v>0</v>
      </c>
      <c r="BS22" s="112">
        <v>16</v>
      </c>
      <c r="BT22" s="115">
        <v>94.11764705882354</v>
      </c>
      <c r="BU22" s="112">
        <v>17</v>
      </c>
      <c r="BV22" s="2"/>
      <c r="BW22" s="3"/>
      <c r="BX22" s="3"/>
      <c r="BY22" s="3"/>
      <c r="BZ22" s="3"/>
    </row>
    <row r="23" spans="1:78" ht="41.45" customHeight="1">
      <c r="A23" s="66" t="s">
        <v>262</v>
      </c>
      <c r="C23" s="67"/>
      <c r="D23" s="67" t="s">
        <v>64</v>
      </c>
      <c r="E23" s="68">
        <v>186.93231333425342</v>
      </c>
      <c r="F23" s="70">
        <v>99.85825750981583</v>
      </c>
      <c r="G23" s="105" t="str">
        <f>HYPERLINK("https://pbs.twimg.com/profile_images/1116657208534679552/aDCKY8Id_normal.png")</f>
        <v>https://pbs.twimg.com/profile_images/1116657208534679552/aDCKY8Id_normal.png</v>
      </c>
      <c r="H23" s="67"/>
      <c r="I23" s="71" t="s">
        <v>262</v>
      </c>
      <c r="J23" s="72"/>
      <c r="K23" s="72"/>
      <c r="L23" s="71" t="s">
        <v>1314</v>
      </c>
      <c r="M23" s="75">
        <v>48.23804722871045</v>
      </c>
      <c r="N23" s="76">
        <v>9387.0888671875</v>
      </c>
      <c r="O23" s="76">
        <v>6014.33203125</v>
      </c>
      <c r="P23" s="77"/>
      <c r="Q23" s="78"/>
      <c r="R23" s="78"/>
      <c r="S23" s="91"/>
      <c r="T23" s="49">
        <v>0</v>
      </c>
      <c r="U23" s="49">
        <v>1</v>
      </c>
      <c r="V23" s="50">
        <v>0</v>
      </c>
      <c r="W23" s="50">
        <v>0.012658</v>
      </c>
      <c r="X23" s="50">
        <v>0</v>
      </c>
      <c r="Y23" s="50">
        <v>0.011628</v>
      </c>
      <c r="Z23" s="50">
        <v>0</v>
      </c>
      <c r="AA23" s="50">
        <v>0</v>
      </c>
      <c r="AB23" s="73">
        <v>23</v>
      </c>
      <c r="AC23" s="73"/>
      <c r="AD23" s="74"/>
      <c r="AE23" s="81" t="s">
        <v>1034</v>
      </c>
      <c r="AF23" s="90" t="s">
        <v>1112</v>
      </c>
      <c r="AG23" s="81">
        <v>1551</v>
      </c>
      <c r="AH23" s="81">
        <v>1517</v>
      </c>
      <c r="AI23" s="81">
        <v>2396</v>
      </c>
      <c r="AJ23" s="81">
        <v>1683</v>
      </c>
      <c r="AK23" s="81"/>
      <c r="AL23" s="81" t="s">
        <v>1176</v>
      </c>
      <c r="AM23" s="81" t="s">
        <v>1251</v>
      </c>
      <c r="AN23" s="86" t="str">
        <f>HYPERLINK("https://t.co/OhBUYO6tbP")</f>
        <v>https://t.co/OhBUYO6tbP</v>
      </c>
      <c r="AO23" s="81"/>
      <c r="AP23" s="83">
        <v>41067.47248842593</v>
      </c>
      <c r="AQ23" s="86" t="str">
        <f>HYPERLINK("https://pbs.twimg.com/profile_banners/601865151/1640196686")</f>
        <v>https://pbs.twimg.com/profile_banners/601865151/1640196686</v>
      </c>
      <c r="AR23" s="81" t="b">
        <v>0</v>
      </c>
      <c r="AS23" s="81" t="b">
        <v>0</v>
      </c>
      <c r="AT23" s="81" t="b">
        <v>1</v>
      </c>
      <c r="AU23" s="81"/>
      <c r="AV23" s="81">
        <v>26</v>
      </c>
      <c r="AW23" s="86" t="str">
        <f>HYPERLINK("https://abs.twimg.com/images/themes/theme16/bg.gif")</f>
        <v>https://abs.twimg.com/images/themes/theme16/bg.gif</v>
      </c>
      <c r="AX23" s="81" t="b">
        <v>0</v>
      </c>
      <c r="AY23" s="81" t="s">
        <v>1294</v>
      </c>
      <c r="AZ23" s="86" t="str">
        <f>HYPERLINK("https://twitter.com/canntfestival")</f>
        <v>https://twitter.com/canntfestival</v>
      </c>
      <c r="BA23" s="81" t="s">
        <v>66</v>
      </c>
      <c r="BB23" s="81" t="str">
        <f>REPLACE(INDEX(GroupVertices[Group],MATCH(Vertices[[#This Row],[Vertex]],GroupVertices[Vertex],0)),1,1,"")</f>
        <v>18</v>
      </c>
      <c r="BC23" s="49" t="s">
        <v>1419</v>
      </c>
      <c r="BD23" s="49" t="s">
        <v>1419</v>
      </c>
      <c r="BE23" s="49" t="s">
        <v>521</v>
      </c>
      <c r="BF23" s="49" t="s">
        <v>521</v>
      </c>
      <c r="BG23" s="49" t="s">
        <v>534</v>
      </c>
      <c r="BH23" s="49" t="s">
        <v>534</v>
      </c>
      <c r="BI23" s="112" t="s">
        <v>1711</v>
      </c>
      <c r="BJ23" s="112" t="s">
        <v>1711</v>
      </c>
      <c r="BK23" s="112" t="s">
        <v>1753</v>
      </c>
      <c r="BL23" s="112" t="s">
        <v>1753</v>
      </c>
      <c r="BM23" s="112">
        <v>0</v>
      </c>
      <c r="BN23" s="115">
        <v>0</v>
      </c>
      <c r="BO23" s="112">
        <v>1</v>
      </c>
      <c r="BP23" s="115">
        <v>3.0303030303030303</v>
      </c>
      <c r="BQ23" s="112">
        <v>0</v>
      </c>
      <c r="BR23" s="115">
        <v>0</v>
      </c>
      <c r="BS23" s="112">
        <v>32</v>
      </c>
      <c r="BT23" s="115">
        <v>96.96969696969697</v>
      </c>
      <c r="BU23" s="112">
        <v>33</v>
      </c>
      <c r="BV23" s="2"/>
      <c r="BW23" s="3"/>
      <c r="BX23" s="3"/>
      <c r="BY23" s="3"/>
      <c r="BZ23" s="3"/>
    </row>
    <row r="24" spans="1:78" ht="41.45" customHeight="1">
      <c r="A24" s="66" t="s">
        <v>268</v>
      </c>
      <c r="C24" s="67"/>
      <c r="D24" s="67" t="s">
        <v>64</v>
      </c>
      <c r="E24" s="68">
        <v>180.47205189376763</v>
      </c>
      <c r="F24" s="70">
        <v>99.89498468918099</v>
      </c>
      <c r="G24" s="105" t="str">
        <f>HYPERLINK("https://pbs.twimg.com/profile_images/909074051666202624/8mxVPjpk_normal.jpg")</f>
        <v>https://pbs.twimg.com/profile_images/909074051666202624/8mxVPjpk_normal.jpg</v>
      </c>
      <c r="H24" s="67"/>
      <c r="I24" s="71" t="s">
        <v>268</v>
      </c>
      <c r="J24" s="72"/>
      <c r="K24" s="72"/>
      <c r="L24" s="71" t="s">
        <v>1315</v>
      </c>
      <c r="M24" s="75">
        <v>35.998102585618476</v>
      </c>
      <c r="N24" s="76">
        <v>9387.0888671875</v>
      </c>
      <c r="O24" s="76">
        <v>6960.0341796875</v>
      </c>
      <c r="P24" s="77"/>
      <c r="Q24" s="78"/>
      <c r="R24" s="78"/>
      <c r="S24" s="91"/>
      <c r="T24" s="49">
        <v>2</v>
      </c>
      <c r="U24" s="49">
        <v>1</v>
      </c>
      <c r="V24" s="50">
        <v>0</v>
      </c>
      <c r="W24" s="50">
        <v>0.012658</v>
      </c>
      <c r="X24" s="50">
        <v>0</v>
      </c>
      <c r="Y24" s="50">
        <v>0.013372</v>
      </c>
      <c r="Z24" s="50">
        <v>0</v>
      </c>
      <c r="AA24" s="50">
        <v>0</v>
      </c>
      <c r="AB24" s="73">
        <v>24</v>
      </c>
      <c r="AC24" s="73"/>
      <c r="AD24" s="74"/>
      <c r="AE24" s="81" t="s">
        <v>1035</v>
      </c>
      <c r="AF24" s="90" t="s">
        <v>1113</v>
      </c>
      <c r="AG24" s="81">
        <v>171</v>
      </c>
      <c r="AH24" s="81">
        <v>1126</v>
      </c>
      <c r="AI24" s="81">
        <v>1880</v>
      </c>
      <c r="AJ24" s="81">
        <v>662</v>
      </c>
      <c r="AK24" s="81"/>
      <c r="AL24" s="81" t="s">
        <v>1177</v>
      </c>
      <c r="AM24" s="81" t="s">
        <v>1252</v>
      </c>
      <c r="AN24" s="86" t="str">
        <f>HYPERLINK("https://t.co/c0bjBnLQOJ")</f>
        <v>https://t.co/c0bjBnLQOJ</v>
      </c>
      <c r="AO24" s="81"/>
      <c r="AP24" s="83">
        <v>41116.85381944444</v>
      </c>
      <c r="AQ24" s="86" t="str">
        <f>HYPERLINK("https://pbs.twimg.com/profile_banners/718705374/1611759729")</f>
        <v>https://pbs.twimg.com/profile_banners/718705374/1611759729</v>
      </c>
      <c r="AR24" s="81" t="b">
        <v>0</v>
      </c>
      <c r="AS24" s="81" t="b">
        <v>0</v>
      </c>
      <c r="AT24" s="81" t="b">
        <v>1</v>
      </c>
      <c r="AU24" s="81"/>
      <c r="AV24" s="81">
        <v>36</v>
      </c>
      <c r="AW24" s="86" t="str">
        <f>HYPERLINK("https://abs.twimg.com/images/themes/theme9/bg.gif")</f>
        <v>https://abs.twimg.com/images/themes/theme9/bg.gif</v>
      </c>
      <c r="AX24" s="81" t="b">
        <v>0</v>
      </c>
      <c r="AY24" s="81" t="s">
        <v>1294</v>
      </c>
      <c r="AZ24" s="86" t="str">
        <f>HYPERLINK("https://twitter.com/rooftopcorby")</f>
        <v>https://twitter.com/rooftopcorby</v>
      </c>
      <c r="BA24" s="81" t="s">
        <v>66</v>
      </c>
      <c r="BB24" s="81" t="str">
        <f>REPLACE(INDEX(GroupVertices[Group],MATCH(Vertices[[#This Row],[Vertex]],GroupVertices[Vertex],0)),1,1,"")</f>
        <v>18</v>
      </c>
      <c r="BC24" s="49" t="s">
        <v>1696</v>
      </c>
      <c r="BD24" s="49" t="s">
        <v>1696</v>
      </c>
      <c r="BE24" s="49" t="s">
        <v>526</v>
      </c>
      <c r="BF24" s="49" t="s">
        <v>526</v>
      </c>
      <c r="BG24" s="49" t="s">
        <v>535</v>
      </c>
      <c r="BH24" s="49" t="s">
        <v>535</v>
      </c>
      <c r="BI24" s="112" t="s">
        <v>1712</v>
      </c>
      <c r="BJ24" s="112" t="s">
        <v>1712</v>
      </c>
      <c r="BK24" s="112" t="s">
        <v>1754</v>
      </c>
      <c r="BL24" s="112" t="s">
        <v>1754</v>
      </c>
      <c r="BM24" s="112">
        <v>1</v>
      </c>
      <c r="BN24" s="115">
        <v>2.7777777777777777</v>
      </c>
      <c r="BO24" s="112">
        <v>0</v>
      </c>
      <c r="BP24" s="115">
        <v>0</v>
      </c>
      <c r="BQ24" s="112">
        <v>0</v>
      </c>
      <c r="BR24" s="115">
        <v>0</v>
      </c>
      <c r="BS24" s="112">
        <v>35</v>
      </c>
      <c r="BT24" s="115">
        <v>97.22222222222223</v>
      </c>
      <c r="BU24" s="112">
        <v>36</v>
      </c>
      <c r="BV24" s="2"/>
      <c r="BW24" s="3"/>
      <c r="BX24" s="3"/>
      <c r="BY24" s="3"/>
      <c r="BZ24" s="3"/>
    </row>
    <row r="25" spans="1:78" ht="41.45" customHeight="1">
      <c r="A25" s="66" t="s">
        <v>263</v>
      </c>
      <c r="C25" s="67"/>
      <c r="D25" s="67" t="s">
        <v>64</v>
      </c>
      <c r="E25" s="68">
        <v>199.50586565192532</v>
      </c>
      <c r="F25" s="70">
        <v>99.78677571059107</v>
      </c>
      <c r="G25" s="105" t="str">
        <f>HYPERLINK("https://pbs.twimg.com/profile_images/570239817024155648/J6wlVmJj_normal.jpeg")</f>
        <v>https://pbs.twimg.com/profile_images/570239817024155648/J6wlVmJj_normal.jpeg</v>
      </c>
      <c r="H25" s="67"/>
      <c r="I25" s="71" t="s">
        <v>263</v>
      </c>
      <c r="J25" s="72"/>
      <c r="K25" s="72"/>
      <c r="L25" s="71" t="s">
        <v>1316</v>
      </c>
      <c r="M25" s="75">
        <v>72.06054818367973</v>
      </c>
      <c r="N25" s="76">
        <v>606.4103393554688</v>
      </c>
      <c r="O25" s="76">
        <v>5968.79248046875</v>
      </c>
      <c r="P25" s="77"/>
      <c r="Q25" s="78"/>
      <c r="R25" s="78"/>
      <c r="S25" s="91"/>
      <c r="T25" s="49">
        <v>0</v>
      </c>
      <c r="U25" s="49">
        <v>3</v>
      </c>
      <c r="V25" s="50">
        <v>0</v>
      </c>
      <c r="W25" s="50">
        <v>0.108017</v>
      </c>
      <c r="X25" s="50">
        <v>0.192209</v>
      </c>
      <c r="Y25" s="50">
        <v>0.011205</v>
      </c>
      <c r="Z25" s="50">
        <v>1</v>
      </c>
      <c r="AA25" s="50">
        <v>0</v>
      </c>
      <c r="AB25" s="73">
        <v>25</v>
      </c>
      <c r="AC25" s="73"/>
      <c r="AD25" s="74"/>
      <c r="AE25" s="81" t="s">
        <v>1036</v>
      </c>
      <c r="AF25" s="90" t="s">
        <v>1114</v>
      </c>
      <c r="AG25" s="81">
        <v>472</v>
      </c>
      <c r="AH25" s="81">
        <v>2278</v>
      </c>
      <c r="AI25" s="81">
        <v>3344</v>
      </c>
      <c r="AJ25" s="81">
        <v>3002</v>
      </c>
      <c r="AK25" s="81"/>
      <c r="AL25" s="81" t="s">
        <v>1178</v>
      </c>
      <c r="AM25" s="81" t="s">
        <v>1253</v>
      </c>
      <c r="AN25" s="86" t="str">
        <f>HYPERLINK("http://t.co/3lUKPLseto")</f>
        <v>http://t.co/3lUKPLseto</v>
      </c>
      <c r="AO25" s="81"/>
      <c r="AP25" s="83">
        <v>40206.606412037036</v>
      </c>
      <c r="AQ25" s="86" t="str">
        <f>HYPERLINK("https://pbs.twimg.com/profile_banners/109275445/1426174767")</f>
        <v>https://pbs.twimg.com/profile_banners/109275445/1426174767</v>
      </c>
      <c r="AR25" s="81" t="b">
        <v>0</v>
      </c>
      <c r="AS25" s="81" t="b">
        <v>0</v>
      </c>
      <c r="AT25" s="81" t="b">
        <v>1</v>
      </c>
      <c r="AU25" s="81"/>
      <c r="AV25" s="81">
        <v>47</v>
      </c>
      <c r="AW25" s="86" t="str">
        <f>HYPERLINK("https://abs.twimg.com/images/themes/theme3/bg.gif")</f>
        <v>https://abs.twimg.com/images/themes/theme3/bg.gif</v>
      </c>
      <c r="AX25" s="81" t="b">
        <v>0</v>
      </c>
      <c r="AY25" s="81" t="s">
        <v>1294</v>
      </c>
      <c r="AZ25" s="86" t="str">
        <f>HYPERLINK("https://twitter.com/l13liw")</f>
        <v>https://twitter.com/l13liw</v>
      </c>
      <c r="BA25" s="81" t="s">
        <v>66</v>
      </c>
      <c r="BB25" s="81" t="str">
        <f>REPLACE(INDEX(GroupVertices[Group],MATCH(Vertices[[#This Row],[Vertex]],GroupVertices[Vertex],0)),1,1,"")</f>
        <v>1</v>
      </c>
      <c r="BC25" s="49" t="s">
        <v>1416</v>
      </c>
      <c r="BD25" s="49" t="s">
        <v>1416</v>
      </c>
      <c r="BE25" s="49" t="s">
        <v>522</v>
      </c>
      <c r="BF25" s="49" t="s">
        <v>522</v>
      </c>
      <c r="BG25" s="49"/>
      <c r="BH25" s="49"/>
      <c r="BI25" s="112" t="s">
        <v>1708</v>
      </c>
      <c r="BJ25" s="112" t="s">
        <v>1708</v>
      </c>
      <c r="BK25" s="112" t="s">
        <v>1750</v>
      </c>
      <c r="BL25" s="112" t="s">
        <v>1750</v>
      </c>
      <c r="BM25" s="112">
        <v>1</v>
      </c>
      <c r="BN25" s="115">
        <v>2.5641025641025643</v>
      </c>
      <c r="BO25" s="112">
        <v>1</v>
      </c>
      <c r="BP25" s="115">
        <v>2.5641025641025643</v>
      </c>
      <c r="BQ25" s="112">
        <v>0</v>
      </c>
      <c r="BR25" s="115">
        <v>0</v>
      </c>
      <c r="BS25" s="112">
        <v>37</v>
      </c>
      <c r="BT25" s="115">
        <v>94.87179487179488</v>
      </c>
      <c r="BU25" s="112">
        <v>39</v>
      </c>
      <c r="BV25" s="2"/>
      <c r="BW25" s="3"/>
      <c r="BX25" s="3"/>
      <c r="BY25" s="3"/>
      <c r="BZ25" s="3"/>
    </row>
    <row r="26" spans="1:78" ht="41.45" customHeight="1">
      <c r="A26" s="66" t="s">
        <v>264</v>
      </c>
      <c r="C26" s="67"/>
      <c r="D26" s="67" t="s">
        <v>64</v>
      </c>
      <c r="E26" s="68">
        <v>185.14789329442615</v>
      </c>
      <c r="F26" s="70">
        <v>99.86840210155863</v>
      </c>
      <c r="G26" s="105" t="str">
        <f>HYPERLINK("https://pbs.twimg.com/profile_images/1281569835881836544/GSMpOvzB_normal.jpg")</f>
        <v>https://pbs.twimg.com/profile_images/1281569835881836544/GSMpOvzB_normal.jpg</v>
      </c>
      <c r="H26" s="67"/>
      <c r="I26" s="71" t="s">
        <v>264</v>
      </c>
      <c r="J26" s="72"/>
      <c r="K26" s="72"/>
      <c r="L26" s="71" t="s">
        <v>1317</v>
      </c>
      <c r="M26" s="75">
        <v>44.8571929538922</v>
      </c>
      <c r="N26" s="76">
        <v>2772.31298828125</v>
      </c>
      <c r="O26" s="76">
        <v>5770.98193359375</v>
      </c>
      <c r="P26" s="77"/>
      <c r="Q26" s="78"/>
      <c r="R26" s="78"/>
      <c r="S26" s="91"/>
      <c r="T26" s="49">
        <v>0</v>
      </c>
      <c r="U26" s="49">
        <v>3</v>
      </c>
      <c r="V26" s="50">
        <v>0</v>
      </c>
      <c r="W26" s="50">
        <v>0.108017</v>
      </c>
      <c r="X26" s="50">
        <v>0.192209</v>
      </c>
      <c r="Y26" s="50">
        <v>0.011205</v>
      </c>
      <c r="Z26" s="50">
        <v>1</v>
      </c>
      <c r="AA26" s="50">
        <v>0</v>
      </c>
      <c r="AB26" s="73">
        <v>26</v>
      </c>
      <c r="AC26" s="73"/>
      <c r="AD26" s="74"/>
      <c r="AE26" s="81" t="s">
        <v>1037</v>
      </c>
      <c r="AF26" s="90" t="s">
        <v>1115</v>
      </c>
      <c r="AG26" s="81">
        <v>1081</v>
      </c>
      <c r="AH26" s="81">
        <v>1409</v>
      </c>
      <c r="AI26" s="81">
        <v>11064</v>
      </c>
      <c r="AJ26" s="81">
        <v>15859</v>
      </c>
      <c r="AK26" s="81"/>
      <c r="AL26" s="81" t="s">
        <v>1179</v>
      </c>
      <c r="AM26" s="81" t="s">
        <v>1254</v>
      </c>
      <c r="AN26" s="86" t="str">
        <f>HYPERLINK("https://t.co/bUda9SfFuh")</f>
        <v>https://t.co/bUda9SfFuh</v>
      </c>
      <c r="AO26" s="81"/>
      <c r="AP26" s="83">
        <v>42100.55039351852</v>
      </c>
      <c r="AQ26" s="86" t="str">
        <f>HYPERLINK("https://pbs.twimg.com/profile_banners/3140323017/1489145256")</f>
        <v>https://pbs.twimg.com/profile_banners/3140323017/1489145256</v>
      </c>
      <c r="AR26" s="81" t="b">
        <v>1</v>
      </c>
      <c r="AS26" s="81" t="b">
        <v>0</v>
      </c>
      <c r="AT26" s="81" t="b">
        <v>1</v>
      </c>
      <c r="AU26" s="81"/>
      <c r="AV26" s="81">
        <v>31</v>
      </c>
      <c r="AW26" s="86" t="str">
        <f>HYPERLINK("https://abs.twimg.com/images/themes/theme1/bg.png")</f>
        <v>https://abs.twimg.com/images/themes/theme1/bg.png</v>
      </c>
      <c r="AX26" s="81" t="b">
        <v>0</v>
      </c>
      <c r="AY26" s="81" t="s">
        <v>1294</v>
      </c>
      <c r="AZ26" s="86" t="str">
        <f>HYPERLINK("https://twitter.com/festival23cod")</f>
        <v>https://twitter.com/festival23cod</v>
      </c>
      <c r="BA26" s="81" t="s">
        <v>66</v>
      </c>
      <c r="BB26" s="81" t="str">
        <f>REPLACE(INDEX(GroupVertices[Group],MATCH(Vertices[[#This Row],[Vertex]],GroupVertices[Vertex],0)),1,1,"")</f>
        <v>1</v>
      </c>
      <c r="BC26" s="49" t="s">
        <v>1415</v>
      </c>
      <c r="BD26" s="49" t="s">
        <v>1415</v>
      </c>
      <c r="BE26" s="49" t="s">
        <v>523</v>
      </c>
      <c r="BF26" s="49" t="s">
        <v>523</v>
      </c>
      <c r="BG26" s="49"/>
      <c r="BH26" s="49"/>
      <c r="BI26" s="112" t="s">
        <v>1709</v>
      </c>
      <c r="BJ26" s="112" t="s">
        <v>1709</v>
      </c>
      <c r="BK26" s="112" t="s">
        <v>1751</v>
      </c>
      <c r="BL26" s="112" t="s">
        <v>1751</v>
      </c>
      <c r="BM26" s="112">
        <v>3</v>
      </c>
      <c r="BN26" s="115">
        <v>17.647058823529413</v>
      </c>
      <c r="BO26" s="112">
        <v>0</v>
      </c>
      <c r="BP26" s="115">
        <v>0</v>
      </c>
      <c r="BQ26" s="112">
        <v>0</v>
      </c>
      <c r="BR26" s="115">
        <v>0</v>
      </c>
      <c r="BS26" s="112">
        <v>14</v>
      </c>
      <c r="BT26" s="115">
        <v>82.3529411764706</v>
      </c>
      <c r="BU26" s="112">
        <v>17</v>
      </c>
      <c r="BV26" s="2"/>
      <c r="BW26" s="3"/>
      <c r="BX26" s="3"/>
      <c r="BY26" s="3"/>
      <c r="BZ26" s="3"/>
    </row>
    <row r="27" spans="1:78" ht="41.45" customHeight="1">
      <c r="A27" s="66" t="s">
        <v>267</v>
      </c>
      <c r="C27" s="67"/>
      <c r="D27" s="67" t="s">
        <v>64</v>
      </c>
      <c r="E27" s="68">
        <v>204.33040872256944</v>
      </c>
      <c r="F27" s="70">
        <v>99.7593477403235</v>
      </c>
      <c r="G27" s="105" t="str">
        <f>HYPERLINK("https://pbs.twimg.com/profile_images/1521013641927139329/Z6bI4y2l_normal.jpg")</f>
        <v>https://pbs.twimg.com/profile_images/1521013641927139329/Z6bI4y2l_normal.jpg</v>
      </c>
      <c r="H27" s="67"/>
      <c r="I27" s="71" t="s">
        <v>267</v>
      </c>
      <c r="J27" s="72"/>
      <c r="K27" s="72"/>
      <c r="L27" s="71" t="s">
        <v>1318</v>
      </c>
      <c r="M27" s="75">
        <v>81.20137640818831</v>
      </c>
      <c r="N27" s="76">
        <v>4087.357177734375</v>
      </c>
      <c r="O27" s="76">
        <v>3351.434814453125</v>
      </c>
      <c r="P27" s="77"/>
      <c r="Q27" s="78"/>
      <c r="R27" s="78"/>
      <c r="S27" s="91"/>
      <c r="T27" s="49">
        <v>2</v>
      </c>
      <c r="U27" s="49">
        <v>1</v>
      </c>
      <c r="V27" s="50">
        <v>0</v>
      </c>
      <c r="W27" s="50">
        <v>0.028933</v>
      </c>
      <c r="X27" s="50">
        <v>0</v>
      </c>
      <c r="Y27" s="50">
        <v>0.012052</v>
      </c>
      <c r="Z27" s="50">
        <v>0</v>
      </c>
      <c r="AA27" s="50">
        <v>0</v>
      </c>
      <c r="AB27" s="73">
        <v>27</v>
      </c>
      <c r="AC27" s="73"/>
      <c r="AD27" s="74"/>
      <c r="AE27" s="81" t="s">
        <v>1038</v>
      </c>
      <c r="AF27" s="90" t="s">
        <v>958</v>
      </c>
      <c r="AG27" s="81">
        <v>177</v>
      </c>
      <c r="AH27" s="81">
        <v>2570</v>
      </c>
      <c r="AI27" s="81">
        <v>12444</v>
      </c>
      <c r="AJ27" s="81">
        <v>12</v>
      </c>
      <c r="AK27" s="81"/>
      <c r="AL27" s="81" t="s">
        <v>1180</v>
      </c>
      <c r="AM27" s="81"/>
      <c r="AN27" s="86" t="str">
        <f>HYPERLINK("https://t.co/FnI7QTBmzo")</f>
        <v>https://t.co/FnI7QTBmzo</v>
      </c>
      <c r="AO27" s="81"/>
      <c r="AP27" s="83">
        <v>44616.93341435185</v>
      </c>
      <c r="AQ27" s="86" t="str">
        <f>HYPERLINK("https://pbs.twimg.com/profile_banners/1496974239206973453/1650466757")</f>
        <v>https://pbs.twimg.com/profile_banners/1496974239206973453/1650466757</v>
      </c>
      <c r="AR27" s="81" t="b">
        <v>1</v>
      </c>
      <c r="AS27" s="81" t="b">
        <v>0</v>
      </c>
      <c r="AT27" s="81" t="b">
        <v>0</v>
      </c>
      <c r="AU27" s="81"/>
      <c r="AV27" s="81">
        <v>0</v>
      </c>
      <c r="AW27" s="81"/>
      <c r="AX27" s="81" t="b">
        <v>0</v>
      </c>
      <c r="AY27" s="81" t="s">
        <v>1294</v>
      </c>
      <c r="AZ27" s="86" t="str">
        <f>HYPERLINK("https://twitter.com/upsmagcom")</f>
        <v>https://twitter.com/upsmagcom</v>
      </c>
      <c r="BA27" s="81" t="s">
        <v>66</v>
      </c>
      <c r="BB27" s="81" t="str">
        <f>REPLACE(INDEX(GroupVertices[Group],MATCH(Vertices[[#This Row],[Vertex]],GroupVertices[Vertex],0)),1,1,"")</f>
        <v>6</v>
      </c>
      <c r="BC27" s="49" t="s">
        <v>1436</v>
      </c>
      <c r="BD27" s="49" t="s">
        <v>1436</v>
      </c>
      <c r="BE27" s="49" t="s">
        <v>525</v>
      </c>
      <c r="BF27" s="49" t="s">
        <v>525</v>
      </c>
      <c r="BG27" s="49"/>
      <c r="BH27" s="49"/>
      <c r="BI27" s="112" t="s">
        <v>1703</v>
      </c>
      <c r="BJ27" s="112" t="s">
        <v>1703</v>
      </c>
      <c r="BK27" s="112" t="s">
        <v>1745</v>
      </c>
      <c r="BL27" s="112" t="s">
        <v>1745</v>
      </c>
      <c r="BM27" s="112">
        <v>0</v>
      </c>
      <c r="BN27" s="115">
        <v>0</v>
      </c>
      <c r="BO27" s="112">
        <v>0</v>
      </c>
      <c r="BP27" s="115">
        <v>0</v>
      </c>
      <c r="BQ27" s="112">
        <v>0</v>
      </c>
      <c r="BR27" s="115">
        <v>0</v>
      </c>
      <c r="BS27" s="112">
        <v>11</v>
      </c>
      <c r="BT27" s="115">
        <v>100</v>
      </c>
      <c r="BU27" s="112">
        <v>11</v>
      </c>
      <c r="BV27" s="2"/>
      <c r="BW27" s="3"/>
      <c r="BX27" s="3"/>
      <c r="BY27" s="3"/>
      <c r="BZ27" s="3"/>
    </row>
    <row r="28" spans="1:78" ht="41.45" customHeight="1">
      <c r="A28" s="66" t="s">
        <v>269</v>
      </c>
      <c r="C28" s="67"/>
      <c r="D28" s="67" t="s">
        <v>64</v>
      </c>
      <c r="E28" s="68">
        <v>186.38707387763955</v>
      </c>
      <c r="F28" s="70">
        <v>99.86135724618168</v>
      </c>
      <c r="G28" s="105" t="str">
        <f>HYPERLINK("https://pbs.twimg.com/profile_images/1281650701660295168/rNLcuGMu_normal.jpg")</f>
        <v>https://pbs.twimg.com/profile_images/1281650701660295168/rNLcuGMu_normal.jpg</v>
      </c>
      <c r="H28" s="67"/>
      <c r="I28" s="71" t="s">
        <v>269</v>
      </c>
      <c r="J28" s="72"/>
      <c r="K28" s="72"/>
      <c r="L28" s="71" t="s">
        <v>1319</v>
      </c>
      <c r="M28" s="75">
        <v>47.20500842251598</v>
      </c>
      <c r="N28" s="76">
        <v>7162.5654296875</v>
      </c>
      <c r="O28" s="76">
        <v>9191.55859375</v>
      </c>
      <c r="P28" s="77"/>
      <c r="Q28" s="78"/>
      <c r="R28" s="78"/>
      <c r="S28" s="91"/>
      <c r="T28" s="49">
        <v>1</v>
      </c>
      <c r="U28" s="49">
        <v>1</v>
      </c>
      <c r="V28" s="50">
        <v>0</v>
      </c>
      <c r="W28" s="50">
        <v>0.025316</v>
      </c>
      <c r="X28" s="50">
        <v>0</v>
      </c>
      <c r="Y28" s="50">
        <v>0.0125</v>
      </c>
      <c r="Z28" s="50">
        <v>0.5</v>
      </c>
      <c r="AA28" s="50">
        <v>0</v>
      </c>
      <c r="AB28" s="73">
        <v>28</v>
      </c>
      <c r="AC28" s="73"/>
      <c r="AD28" s="74"/>
      <c r="AE28" s="81" t="s">
        <v>1039</v>
      </c>
      <c r="AF28" s="90" t="s">
        <v>1116</v>
      </c>
      <c r="AG28" s="81">
        <v>1154</v>
      </c>
      <c r="AH28" s="81">
        <v>1484</v>
      </c>
      <c r="AI28" s="81">
        <v>30009</v>
      </c>
      <c r="AJ28" s="81">
        <v>30989</v>
      </c>
      <c r="AK28" s="81"/>
      <c r="AL28" s="81" t="s">
        <v>1181</v>
      </c>
      <c r="AM28" s="81" t="s">
        <v>1254</v>
      </c>
      <c r="AN28" s="86" t="str">
        <f>HYPERLINK("https://t.co/W8MrVmkhga")</f>
        <v>https://t.co/W8MrVmkhga</v>
      </c>
      <c r="AO28" s="81"/>
      <c r="AP28" s="83">
        <v>40399.69836805556</v>
      </c>
      <c r="AQ28" s="86" t="str">
        <f>HYPERLINK("https://pbs.twimg.com/profile_banners/176472189/1651055307")</f>
        <v>https://pbs.twimg.com/profile_banners/176472189/1651055307</v>
      </c>
      <c r="AR28" s="81" t="b">
        <v>0</v>
      </c>
      <c r="AS28" s="81" t="b">
        <v>0</v>
      </c>
      <c r="AT28" s="81" t="b">
        <v>1</v>
      </c>
      <c r="AU28" s="81"/>
      <c r="AV28" s="81">
        <v>39</v>
      </c>
      <c r="AW28" s="86" t="str">
        <f>HYPERLINK("https://abs.twimg.com/images/themes/theme1/bg.png")</f>
        <v>https://abs.twimg.com/images/themes/theme1/bg.png</v>
      </c>
      <c r="AX28" s="81" t="b">
        <v>0</v>
      </c>
      <c r="AY28" s="81" t="s">
        <v>1294</v>
      </c>
      <c r="AZ28" s="86" t="str">
        <f>HYPERLINK("https://twitter.com/wholehogg")</f>
        <v>https://twitter.com/wholehogg</v>
      </c>
      <c r="BA28" s="81" t="s">
        <v>66</v>
      </c>
      <c r="BB28" s="81" t="str">
        <f>REPLACE(INDEX(GroupVertices[Group],MATCH(Vertices[[#This Row],[Vertex]],GroupVertices[Vertex],0)),1,1,"")</f>
        <v>10</v>
      </c>
      <c r="BC28" s="49" t="s">
        <v>1420</v>
      </c>
      <c r="BD28" s="49" t="s">
        <v>1420</v>
      </c>
      <c r="BE28" s="49" t="s">
        <v>527</v>
      </c>
      <c r="BF28" s="49" t="s">
        <v>527</v>
      </c>
      <c r="BG28" s="49"/>
      <c r="BH28" s="49"/>
      <c r="BI28" s="112" t="s">
        <v>1555</v>
      </c>
      <c r="BJ28" s="112" t="s">
        <v>1555</v>
      </c>
      <c r="BK28" s="112" t="s">
        <v>1627</v>
      </c>
      <c r="BL28" s="112" t="s">
        <v>1627</v>
      </c>
      <c r="BM28" s="112">
        <v>1</v>
      </c>
      <c r="BN28" s="115">
        <v>5.882352941176471</v>
      </c>
      <c r="BO28" s="112">
        <v>1</v>
      </c>
      <c r="BP28" s="115">
        <v>5.882352941176471</v>
      </c>
      <c r="BQ28" s="112">
        <v>0</v>
      </c>
      <c r="BR28" s="115">
        <v>0</v>
      </c>
      <c r="BS28" s="112">
        <v>15</v>
      </c>
      <c r="BT28" s="115">
        <v>88.23529411764706</v>
      </c>
      <c r="BU28" s="112">
        <v>17</v>
      </c>
      <c r="BV28" s="2"/>
      <c r="BW28" s="3"/>
      <c r="BX28" s="3"/>
      <c r="BY28" s="3"/>
      <c r="BZ28" s="3"/>
    </row>
    <row r="29" spans="1:78" ht="41.45" customHeight="1">
      <c r="A29" s="66" t="s">
        <v>307</v>
      </c>
      <c r="C29" s="67"/>
      <c r="D29" s="67" t="s">
        <v>64</v>
      </c>
      <c r="E29" s="68">
        <v>302.1761075730989</v>
      </c>
      <c r="F29" s="70">
        <v>99.20308595975979</v>
      </c>
      <c r="G29" s="105" t="str">
        <f>HYPERLINK("https://pbs.twimg.com/profile_images/1322586366832726018/0xVCCMa8_normal.jpg")</f>
        <v>https://pbs.twimg.com/profile_images/1322586366832726018/0xVCCMa8_normal.jpg</v>
      </c>
      <c r="H29" s="67"/>
      <c r="I29" s="71" t="s">
        <v>307</v>
      </c>
      <c r="J29" s="72"/>
      <c r="K29" s="72"/>
      <c r="L29" s="71" t="s">
        <v>1320</v>
      </c>
      <c r="M29" s="75">
        <v>266.58488581072197</v>
      </c>
      <c r="N29" s="76">
        <v>7162.5654296875</v>
      </c>
      <c r="O29" s="76">
        <v>8240.326171875</v>
      </c>
      <c r="P29" s="77"/>
      <c r="Q29" s="78"/>
      <c r="R29" s="78"/>
      <c r="S29" s="91"/>
      <c r="T29" s="49">
        <v>2</v>
      </c>
      <c r="U29" s="49">
        <v>0</v>
      </c>
      <c r="V29" s="50">
        <v>0</v>
      </c>
      <c r="W29" s="50">
        <v>0.025316</v>
      </c>
      <c r="X29" s="50">
        <v>0</v>
      </c>
      <c r="Y29" s="50">
        <v>0.0125</v>
      </c>
      <c r="Z29" s="50">
        <v>0.5</v>
      </c>
      <c r="AA29" s="50">
        <v>0</v>
      </c>
      <c r="AB29" s="73">
        <v>29</v>
      </c>
      <c r="AC29" s="73"/>
      <c r="AD29" s="74"/>
      <c r="AE29" s="81" t="s">
        <v>1040</v>
      </c>
      <c r="AF29" s="90" t="s">
        <v>1117</v>
      </c>
      <c r="AG29" s="81">
        <v>4206</v>
      </c>
      <c r="AH29" s="81">
        <v>8492</v>
      </c>
      <c r="AI29" s="81">
        <v>9534</v>
      </c>
      <c r="AJ29" s="81">
        <v>8612</v>
      </c>
      <c r="AK29" s="81"/>
      <c r="AL29" s="81" t="s">
        <v>1182</v>
      </c>
      <c r="AM29" s="81" t="s">
        <v>1240</v>
      </c>
      <c r="AN29" s="86" t="str">
        <f>HYPERLINK("https://t.co/9SMNCqzmXC")</f>
        <v>https://t.co/9SMNCqzmXC</v>
      </c>
      <c r="AO29" s="81"/>
      <c r="AP29" s="83">
        <v>39828.65137731482</v>
      </c>
      <c r="AQ29" s="86" t="str">
        <f>HYPERLINK("https://pbs.twimg.com/profile_banners/19025630/1603975110")</f>
        <v>https://pbs.twimg.com/profile_banners/19025630/1603975110</v>
      </c>
      <c r="AR29" s="81" t="b">
        <v>0</v>
      </c>
      <c r="AS29" s="81" t="b">
        <v>0</v>
      </c>
      <c r="AT29" s="81" t="b">
        <v>0</v>
      </c>
      <c r="AU29" s="81"/>
      <c r="AV29" s="81">
        <v>115</v>
      </c>
      <c r="AW29" s="86" t="str">
        <f>HYPERLINK("https://abs.twimg.com/images/themes/theme1/bg.png")</f>
        <v>https://abs.twimg.com/images/themes/theme1/bg.png</v>
      </c>
      <c r="AX29" s="81" t="b">
        <v>0</v>
      </c>
      <c r="AY29" s="81" t="s">
        <v>1294</v>
      </c>
      <c r="AZ29" s="86" t="str">
        <f>HYPERLINK("https://twitter.com/nndroid")</f>
        <v>https://twitter.com/nndroid</v>
      </c>
      <c r="BA29" s="81" t="s">
        <v>65</v>
      </c>
      <c r="BB29" s="81" t="str">
        <f>REPLACE(INDEX(GroupVertices[Group],MATCH(Vertices[[#This Row],[Vertex]],GroupVertices[Vertex],0)),1,1,"")</f>
        <v>10</v>
      </c>
      <c r="BC29" s="49"/>
      <c r="BD29" s="49"/>
      <c r="BE29" s="49"/>
      <c r="BF29" s="49"/>
      <c r="BG29" s="49"/>
      <c r="BH29" s="49"/>
      <c r="BI29" s="49"/>
      <c r="BJ29" s="49"/>
      <c r="BK29" s="49"/>
      <c r="BL29" s="49"/>
      <c r="BM29" s="49"/>
      <c r="BN29" s="50"/>
      <c r="BO29" s="49"/>
      <c r="BP29" s="50"/>
      <c r="BQ29" s="49"/>
      <c r="BR29" s="50"/>
      <c r="BS29" s="49"/>
      <c r="BT29" s="50"/>
      <c r="BU29" s="49"/>
      <c r="BV29" s="2"/>
      <c r="BW29" s="3"/>
      <c r="BX29" s="3"/>
      <c r="BY29" s="3"/>
      <c r="BZ29" s="3"/>
    </row>
    <row r="30" spans="1:78" ht="41.45" customHeight="1">
      <c r="A30" s="66" t="s">
        <v>270</v>
      </c>
      <c r="C30" s="67"/>
      <c r="D30" s="67" t="s">
        <v>64</v>
      </c>
      <c r="E30" s="68">
        <v>198.00232654429306</v>
      </c>
      <c r="F30" s="70">
        <v>99.79532346844844</v>
      </c>
      <c r="G30" s="105" t="str">
        <f>HYPERLINK("https://pbs.twimg.com/profile_images/1505326560949190658/Kh6q-Xqp_normal.jpg")</f>
        <v>https://pbs.twimg.com/profile_images/1505326560949190658/Kh6q-Xqp_normal.jpg</v>
      </c>
      <c r="H30" s="67"/>
      <c r="I30" s="71" t="s">
        <v>270</v>
      </c>
      <c r="J30" s="72"/>
      <c r="K30" s="72"/>
      <c r="L30" s="71" t="s">
        <v>1321</v>
      </c>
      <c r="M30" s="75">
        <v>69.21186541508288</v>
      </c>
      <c r="N30" s="76">
        <v>7881.3603515625</v>
      </c>
      <c r="O30" s="76">
        <v>9191.55859375</v>
      </c>
      <c r="P30" s="77"/>
      <c r="Q30" s="78"/>
      <c r="R30" s="78"/>
      <c r="S30" s="91"/>
      <c r="T30" s="49">
        <v>0</v>
      </c>
      <c r="U30" s="49">
        <v>2</v>
      </c>
      <c r="V30" s="50">
        <v>0</v>
      </c>
      <c r="W30" s="50">
        <v>0.025316</v>
      </c>
      <c r="X30" s="50">
        <v>0</v>
      </c>
      <c r="Y30" s="50">
        <v>0.0125</v>
      </c>
      <c r="Z30" s="50">
        <v>0.5</v>
      </c>
      <c r="AA30" s="50">
        <v>0</v>
      </c>
      <c r="AB30" s="73">
        <v>30</v>
      </c>
      <c r="AC30" s="73"/>
      <c r="AD30" s="74"/>
      <c r="AE30" s="81" t="s">
        <v>1041</v>
      </c>
      <c r="AF30" s="90" t="s">
        <v>1118</v>
      </c>
      <c r="AG30" s="81">
        <v>954</v>
      </c>
      <c r="AH30" s="81">
        <v>2187</v>
      </c>
      <c r="AI30" s="81">
        <v>39864</v>
      </c>
      <c r="AJ30" s="81">
        <v>18672</v>
      </c>
      <c r="AK30" s="81"/>
      <c r="AL30" s="81" t="s">
        <v>1183</v>
      </c>
      <c r="AM30" s="81" t="s">
        <v>1255</v>
      </c>
      <c r="AN30" s="81"/>
      <c r="AO30" s="81"/>
      <c r="AP30" s="83">
        <v>40072.48826388889</v>
      </c>
      <c r="AQ30" s="86" t="str">
        <f>HYPERLINK("https://pbs.twimg.com/profile_banners/74710528/1534679197")</f>
        <v>https://pbs.twimg.com/profile_banners/74710528/1534679197</v>
      </c>
      <c r="AR30" s="81" t="b">
        <v>1</v>
      </c>
      <c r="AS30" s="81" t="b">
        <v>0</v>
      </c>
      <c r="AT30" s="81" t="b">
        <v>0</v>
      </c>
      <c r="AU30" s="81"/>
      <c r="AV30" s="81">
        <v>43</v>
      </c>
      <c r="AW30" s="86" t="str">
        <f>HYPERLINK("https://abs.twimg.com/images/themes/theme1/bg.png")</f>
        <v>https://abs.twimg.com/images/themes/theme1/bg.png</v>
      </c>
      <c r="AX30" s="81" t="b">
        <v>0</v>
      </c>
      <c r="AY30" s="81" t="s">
        <v>1294</v>
      </c>
      <c r="AZ30" s="86" t="str">
        <f>HYPERLINK("https://twitter.com/nigetassell")</f>
        <v>https://twitter.com/nigetassell</v>
      </c>
      <c r="BA30" s="81" t="s">
        <v>66</v>
      </c>
      <c r="BB30" s="81" t="str">
        <f>REPLACE(INDEX(GroupVertices[Group],MATCH(Vertices[[#This Row],[Vertex]],GroupVertices[Vertex],0)),1,1,"")</f>
        <v>10</v>
      </c>
      <c r="BC30" s="49" t="s">
        <v>1420</v>
      </c>
      <c r="BD30" s="49" t="s">
        <v>1420</v>
      </c>
      <c r="BE30" s="49" t="s">
        <v>527</v>
      </c>
      <c r="BF30" s="49" t="s">
        <v>527</v>
      </c>
      <c r="BG30" s="49"/>
      <c r="BH30" s="49"/>
      <c r="BI30" s="112" t="s">
        <v>1555</v>
      </c>
      <c r="BJ30" s="112" t="s">
        <v>1555</v>
      </c>
      <c r="BK30" s="112" t="s">
        <v>1627</v>
      </c>
      <c r="BL30" s="112" t="s">
        <v>1627</v>
      </c>
      <c r="BM30" s="112">
        <v>1</v>
      </c>
      <c r="BN30" s="115">
        <v>5.882352941176471</v>
      </c>
      <c r="BO30" s="112">
        <v>1</v>
      </c>
      <c r="BP30" s="115">
        <v>5.882352941176471</v>
      </c>
      <c r="BQ30" s="112">
        <v>0</v>
      </c>
      <c r="BR30" s="115">
        <v>0</v>
      </c>
      <c r="BS30" s="112">
        <v>15</v>
      </c>
      <c r="BT30" s="115">
        <v>88.23529411764706</v>
      </c>
      <c r="BU30" s="112">
        <v>17</v>
      </c>
      <c r="BV30" s="2"/>
      <c r="BW30" s="3"/>
      <c r="BX30" s="3"/>
      <c r="BY30" s="3"/>
      <c r="BZ30" s="3"/>
    </row>
    <row r="31" spans="1:78" ht="41.45" customHeight="1">
      <c r="A31" s="66" t="s">
        <v>271</v>
      </c>
      <c r="C31" s="67"/>
      <c r="D31" s="67" t="s">
        <v>64</v>
      </c>
      <c r="E31" s="68">
        <v>166.75845343953944</v>
      </c>
      <c r="F31" s="70">
        <v>99.97294775535252</v>
      </c>
      <c r="G31" s="105" t="str">
        <f>HYPERLINK("https://pbs.twimg.com/profile_images/1255491987102457858/rfgbosj1_normal.jpg")</f>
        <v>https://pbs.twimg.com/profile_images/1255491987102457858/rfgbosj1_normal.jpg</v>
      </c>
      <c r="H31" s="67"/>
      <c r="I31" s="71" t="s">
        <v>271</v>
      </c>
      <c r="J31" s="72"/>
      <c r="K31" s="72"/>
      <c r="L31" s="71" t="s">
        <v>1322</v>
      </c>
      <c r="M31" s="75">
        <v>10.015611399515313</v>
      </c>
      <c r="N31" s="76">
        <v>527.3466796875</v>
      </c>
      <c r="O31" s="76">
        <v>7653.30712890625</v>
      </c>
      <c r="P31" s="77"/>
      <c r="Q31" s="78"/>
      <c r="R31" s="78"/>
      <c r="S31" s="91"/>
      <c r="T31" s="49">
        <v>2</v>
      </c>
      <c r="U31" s="49">
        <v>4</v>
      </c>
      <c r="V31" s="50">
        <v>14</v>
      </c>
      <c r="W31" s="50">
        <v>0.111742</v>
      </c>
      <c r="X31" s="50">
        <v>0.09256</v>
      </c>
      <c r="Y31" s="50">
        <v>0.012776</v>
      </c>
      <c r="Z31" s="50">
        <v>0.3333333333333333</v>
      </c>
      <c r="AA31" s="50">
        <v>0.3333333333333333</v>
      </c>
      <c r="AB31" s="73">
        <v>31</v>
      </c>
      <c r="AC31" s="73"/>
      <c r="AD31" s="74"/>
      <c r="AE31" s="81" t="s">
        <v>1042</v>
      </c>
      <c r="AF31" s="90" t="s">
        <v>1119</v>
      </c>
      <c r="AG31" s="81">
        <v>1073</v>
      </c>
      <c r="AH31" s="81">
        <v>296</v>
      </c>
      <c r="AI31" s="81">
        <v>18940</v>
      </c>
      <c r="AJ31" s="81">
        <v>33857</v>
      </c>
      <c r="AK31" s="81"/>
      <c r="AL31" s="81" t="s">
        <v>1184</v>
      </c>
      <c r="AM31" s="81" t="s">
        <v>1245</v>
      </c>
      <c r="AN31" s="81"/>
      <c r="AO31" s="81"/>
      <c r="AP31" s="83">
        <v>39847.042592592596</v>
      </c>
      <c r="AQ31" s="86" t="str">
        <f>HYPERLINK("https://pbs.twimg.com/profile_banners/19945607/1579106211")</f>
        <v>https://pbs.twimg.com/profile_banners/19945607/1579106211</v>
      </c>
      <c r="AR31" s="81" t="b">
        <v>0</v>
      </c>
      <c r="AS31" s="81" t="b">
        <v>0</v>
      </c>
      <c r="AT31" s="81" t="b">
        <v>1</v>
      </c>
      <c r="AU31" s="81"/>
      <c r="AV31" s="81">
        <v>10</v>
      </c>
      <c r="AW31" s="86" t="str">
        <f>HYPERLINK("https://abs.twimg.com/images/themes/theme9/bg.gif")</f>
        <v>https://abs.twimg.com/images/themes/theme9/bg.gif</v>
      </c>
      <c r="AX31" s="81" t="b">
        <v>0</v>
      </c>
      <c r="AY31" s="81" t="s">
        <v>1294</v>
      </c>
      <c r="AZ31" s="86" t="str">
        <f>HYPERLINK("https://twitter.com/thenarraback")</f>
        <v>https://twitter.com/thenarraback</v>
      </c>
      <c r="BA31" s="81" t="s">
        <v>66</v>
      </c>
      <c r="BB31" s="81" t="str">
        <f>REPLACE(INDEX(GroupVertices[Group],MATCH(Vertices[[#This Row],[Vertex]],GroupVertices[Vertex],0)),1,1,"")</f>
        <v>1</v>
      </c>
      <c r="BC31" s="49"/>
      <c r="BD31" s="49"/>
      <c r="BE31" s="49"/>
      <c r="BF31" s="49"/>
      <c r="BG31" s="49"/>
      <c r="BH31" s="49"/>
      <c r="BI31" s="112" t="s">
        <v>1713</v>
      </c>
      <c r="BJ31" s="112" t="s">
        <v>1737</v>
      </c>
      <c r="BK31" s="112" t="s">
        <v>1755</v>
      </c>
      <c r="BL31" s="112" t="s">
        <v>1755</v>
      </c>
      <c r="BM31" s="112">
        <v>1</v>
      </c>
      <c r="BN31" s="115">
        <v>3.8461538461538463</v>
      </c>
      <c r="BO31" s="112">
        <v>0</v>
      </c>
      <c r="BP31" s="115">
        <v>0</v>
      </c>
      <c r="BQ31" s="112">
        <v>0</v>
      </c>
      <c r="BR31" s="115">
        <v>0</v>
      </c>
      <c r="BS31" s="112">
        <v>25</v>
      </c>
      <c r="BT31" s="115">
        <v>96.15384615384616</v>
      </c>
      <c r="BU31" s="112">
        <v>26</v>
      </c>
      <c r="BV31" s="2"/>
      <c r="BW31" s="3"/>
      <c r="BX31" s="3"/>
      <c r="BY31" s="3"/>
      <c r="BZ31" s="3"/>
    </row>
    <row r="32" spans="1:78" ht="41.45" customHeight="1">
      <c r="A32" s="66" t="s">
        <v>308</v>
      </c>
      <c r="C32" s="67"/>
      <c r="D32" s="67" t="s">
        <v>64</v>
      </c>
      <c r="E32" s="68">
        <v>164.21400264200793</v>
      </c>
      <c r="F32" s="70">
        <v>99.98741319172652</v>
      </c>
      <c r="G32" s="105" t="str">
        <f>HYPERLINK("https://pbs.twimg.com/profile_images/1415656718697107459/W5bBRUbE_normal.jpg")</f>
        <v>https://pbs.twimg.com/profile_images/1415656718697107459/W5bBRUbE_normal.jpg</v>
      </c>
      <c r="H32" s="67"/>
      <c r="I32" s="71" t="s">
        <v>308</v>
      </c>
      <c r="J32" s="72"/>
      <c r="K32" s="72"/>
      <c r="L32" s="71" t="s">
        <v>1323</v>
      </c>
      <c r="M32" s="75">
        <v>5.1947636372744865</v>
      </c>
      <c r="N32" s="76">
        <v>160.32603454589844</v>
      </c>
      <c r="O32" s="76">
        <v>9667.1748046875</v>
      </c>
      <c r="P32" s="77"/>
      <c r="Q32" s="78"/>
      <c r="R32" s="78"/>
      <c r="S32" s="91"/>
      <c r="T32" s="49">
        <v>2</v>
      </c>
      <c r="U32" s="49">
        <v>0</v>
      </c>
      <c r="V32" s="50">
        <v>0</v>
      </c>
      <c r="W32" s="50">
        <v>0.075361</v>
      </c>
      <c r="X32" s="50">
        <v>0.024894</v>
      </c>
      <c r="Y32" s="50">
        <v>0.011713</v>
      </c>
      <c r="Z32" s="50">
        <v>1</v>
      </c>
      <c r="AA32" s="50">
        <v>0</v>
      </c>
      <c r="AB32" s="73">
        <v>32</v>
      </c>
      <c r="AC32" s="73"/>
      <c r="AD32" s="74"/>
      <c r="AE32" s="81" t="s">
        <v>1043</v>
      </c>
      <c r="AF32" s="90" t="s">
        <v>960</v>
      </c>
      <c r="AG32" s="81">
        <v>339</v>
      </c>
      <c r="AH32" s="81">
        <v>142</v>
      </c>
      <c r="AI32" s="81">
        <v>1675</v>
      </c>
      <c r="AJ32" s="81">
        <v>3469</v>
      </c>
      <c r="AK32" s="81"/>
      <c r="AL32" s="81" t="s">
        <v>1185</v>
      </c>
      <c r="AM32" s="81"/>
      <c r="AN32" s="81"/>
      <c r="AO32" s="81"/>
      <c r="AP32" s="83">
        <v>42921.502604166664</v>
      </c>
      <c r="AQ32" s="86" t="str">
        <f>HYPERLINK("https://pbs.twimg.com/profile_banners/882570694256717824/1566488804")</f>
        <v>https://pbs.twimg.com/profile_banners/882570694256717824/1566488804</v>
      </c>
      <c r="AR32" s="81" t="b">
        <v>1</v>
      </c>
      <c r="AS32" s="81" t="b">
        <v>0</v>
      </c>
      <c r="AT32" s="81" t="b">
        <v>0</v>
      </c>
      <c r="AU32" s="81"/>
      <c r="AV32" s="81">
        <v>0</v>
      </c>
      <c r="AW32" s="81"/>
      <c r="AX32" s="81" t="b">
        <v>0</v>
      </c>
      <c r="AY32" s="81" t="s">
        <v>1294</v>
      </c>
      <c r="AZ32" s="86" t="str">
        <f>HYPERLINK("https://twitter.com/lizamccarron")</f>
        <v>https://twitter.com/lizamccarron</v>
      </c>
      <c r="BA32" s="81" t="s">
        <v>65</v>
      </c>
      <c r="BB32" s="81" t="str">
        <f>REPLACE(INDEX(GroupVertices[Group],MATCH(Vertices[[#This Row],[Vertex]],GroupVertices[Vertex],0)),1,1,"")</f>
        <v>1</v>
      </c>
      <c r="BC32" s="49"/>
      <c r="BD32" s="49"/>
      <c r="BE32" s="49"/>
      <c r="BF32" s="49"/>
      <c r="BG32" s="49"/>
      <c r="BH32" s="49"/>
      <c r="BI32" s="49"/>
      <c r="BJ32" s="49"/>
      <c r="BK32" s="49"/>
      <c r="BL32" s="49"/>
      <c r="BM32" s="49"/>
      <c r="BN32" s="50"/>
      <c r="BO32" s="49"/>
      <c r="BP32" s="50"/>
      <c r="BQ32" s="49"/>
      <c r="BR32" s="50"/>
      <c r="BS32" s="49"/>
      <c r="BT32" s="50"/>
      <c r="BU32" s="49"/>
      <c r="BV32" s="2"/>
      <c r="BW32" s="3"/>
      <c r="BX32" s="3"/>
      <c r="BY32" s="3"/>
      <c r="BZ32" s="3"/>
    </row>
    <row r="33" spans="1:78" ht="41.45" customHeight="1">
      <c r="A33" s="66" t="s">
        <v>272</v>
      </c>
      <c r="C33" s="67"/>
      <c r="D33" s="67" t="s">
        <v>64</v>
      </c>
      <c r="E33" s="68">
        <v>171.2360259468838</v>
      </c>
      <c r="F33" s="70">
        <v>99.94749234459049</v>
      </c>
      <c r="G33" s="105" t="str">
        <f>HYPERLINK("https://pbs.twimg.com/profile_images/1087064104903364608/zpS5WJxE_normal.jpg")</f>
        <v>https://pbs.twimg.com/profile_images/1087064104903364608/zpS5WJxE_normal.jpg</v>
      </c>
      <c r="H33" s="67"/>
      <c r="I33" s="71" t="s">
        <v>272</v>
      </c>
      <c r="J33" s="72"/>
      <c r="K33" s="72"/>
      <c r="L33" s="71" t="s">
        <v>1324</v>
      </c>
      <c r="M33" s="75">
        <v>18.499051292809238</v>
      </c>
      <c r="N33" s="76">
        <v>1058.0328369140625</v>
      </c>
      <c r="O33" s="76">
        <v>8288.1728515625</v>
      </c>
      <c r="P33" s="77"/>
      <c r="Q33" s="78"/>
      <c r="R33" s="78"/>
      <c r="S33" s="91"/>
      <c r="T33" s="49">
        <v>1</v>
      </c>
      <c r="U33" s="49">
        <v>3</v>
      </c>
      <c r="V33" s="50">
        <v>14</v>
      </c>
      <c r="W33" s="50">
        <v>0.111742</v>
      </c>
      <c r="X33" s="50">
        <v>0.080946</v>
      </c>
      <c r="Y33" s="50">
        <v>0.012168</v>
      </c>
      <c r="Z33" s="50">
        <v>0.3333333333333333</v>
      </c>
      <c r="AA33" s="50">
        <v>0.3333333333333333</v>
      </c>
      <c r="AB33" s="73">
        <v>33</v>
      </c>
      <c r="AC33" s="73"/>
      <c r="AD33" s="74"/>
      <c r="AE33" s="81" t="s">
        <v>1044</v>
      </c>
      <c r="AF33" s="90" t="s">
        <v>959</v>
      </c>
      <c r="AG33" s="81">
        <v>57</v>
      </c>
      <c r="AH33" s="81">
        <v>567</v>
      </c>
      <c r="AI33" s="81">
        <v>187</v>
      </c>
      <c r="AJ33" s="81">
        <v>129</v>
      </c>
      <c r="AK33" s="81"/>
      <c r="AL33" s="81" t="s">
        <v>1186</v>
      </c>
      <c r="AM33" s="81" t="s">
        <v>989</v>
      </c>
      <c r="AN33" s="86" t="str">
        <f>HYPERLINK("https://t.co/bUcUJI9bcA")</f>
        <v>https://t.co/bUcUJI9bcA</v>
      </c>
      <c r="AO33" s="81"/>
      <c r="AP33" s="83">
        <v>42681.06928240741</v>
      </c>
      <c r="AQ33" s="86" t="str">
        <f>HYPERLINK("https://pbs.twimg.com/profile_banners/795440575851937792/1548011396")</f>
        <v>https://pbs.twimg.com/profile_banners/795440575851937792/1548011396</v>
      </c>
      <c r="AR33" s="81" t="b">
        <v>0</v>
      </c>
      <c r="AS33" s="81" t="b">
        <v>0</v>
      </c>
      <c r="AT33" s="81" t="b">
        <v>1</v>
      </c>
      <c r="AU33" s="81"/>
      <c r="AV33" s="81">
        <v>10</v>
      </c>
      <c r="AW33" s="86" t="str">
        <f>HYPERLINK("https://abs.twimg.com/images/themes/theme1/bg.png")</f>
        <v>https://abs.twimg.com/images/themes/theme1/bg.png</v>
      </c>
      <c r="AX33" s="81" t="b">
        <v>0</v>
      </c>
      <c r="AY33" s="81" t="s">
        <v>1294</v>
      </c>
      <c r="AZ33" s="86" t="str">
        <f>HYPERLINK("https://twitter.com/stephenclarke80")</f>
        <v>https://twitter.com/stephenclarke80</v>
      </c>
      <c r="BA33" s="81" t="s">
        <v>66</v>
      </c>
      <c r="BB33" s="81" t="str">
        <f>REPLACE(INDEX(GroupVertices[Group],MATCH(Vertices[[#This Row],[Vertex]],GroupVertices[Vertex],0)),1,1,"")</f>
        <v>1</v>
      </c>
      <c r="BC33" s="49"/>
      <c r="BD33" s="49"/>
      <c r="BE33" s="49"/>
      <c r="BF33" s="49"/>
      <c r="BG33" s="49"/>
      <c r="BH33" s="49"/>
      <c r="BI33" s="112" t="s">
        <v>1714</v>
      </c>
      <c r="BJ33" s="112" t="s">
        <v>1738</v>
      </c>
      <c r="BK33" s="112" t="s">
        <v>1756</v>
      </c>
      <c r="BL33" s="112" t="s">
        <v>1778</v>
      </c>
      <c r="BM33" s="112">
        <v>2</v>
      </c>
      <c r="BN33" s="115">
        <v>1.941747572815534</v>
      </c>
      <c r="BO33" s="112">
        <v>4</v>
      </c>
      <c r="BP33" s="115">
        <v>3.883495145631068</v>
      </c>
      <c r="BQ33" s="112">
        <v>0</v>
      </c>
      <c r="BR33" s="115">
        <v>0</v>
      </c>
      <c r="BS33" s="112">
        <v>97</v>
      </c>
      <c r="BT33" s="115">
        <v>94.1747572815534</v>
      </c>
      <c r="BU33" s="112">
        <v>103</v>
      </c>
      <c r="BV33" s="2"/>
      <c r="BW33" s="3"/>
      <c r="BX33" s="3"/>
      <c r="BY33" s="3"/>
      <c r="BZ33" s="3"/>
    </row>
    <row r="34" spans="1:78" ht="41.45" customHeight="1">
      <c r="A34" s="66" t="s">
        <v>276</v>
      </c>
      <c r="C34" s="67"/>
      <c r="D34" s="67" t="s">
        <v>64</v>
      </c>
      <c r="E34" s="68">
        <v>219.51450146887754</v>
      </c>
      <c r="F34" s="70">
        <v>99.67302477910465</v>
      </c>
      <c r="G34" s="105" t="str">
        <f>HYPERLINK("https://pbs.twimg.com/profile_images/1248826691692171269/ukUx_JC7_normal.jpg")</f>
        <v>https://pbs.twimg.com/profile_images/1248826691692171269/ukUx_JC7_normal.jpg</v>
      </c>
      <c r="H34" s="67"/>
      <c r="I34" s="71" t="s">
        <v>276</v>
      </c>
      <c r="J34" s="72"/>
      <c r="K34" s="72"/>
      <c r="L34" s="71" t="s">
        <v>1325</v>
      </c>
      <c r="M34" s="75">
        <v>109.9699419503917</v>
      </c>
      <c r="N34" s="76">
        <v>1781.5618896484375</v>
      </c>
      <c r="O34" s="76">
        <v>7323.3779296875</v>
      </c>
      <c r="P34" s="77"/>
      <c r="Q34" s="78"/>
      <c r="R34" s="78"/>
      <c r="S34" s="91"/>
      <c r="T34" s="49">
        <v>0</v>
      </c>
      <c r="U34" s="49">
        <v>3</v>
      </c>
      <c r="V34" s="50">
        <v>0</v>
      </c>
      <c r="W34" s="50">
        <v>0.108017</v>
      </c>
      <c r="X34" s="50">
        <v>0.192209</v>
      </c>
      <c r="Y34" s="50">
        <v>0.011205</v>
      </c>
      <c r="Z34" s="50">
        <v>1</v>
      </c>
      <c r="AA34" s="50">
        <v>0</v>
      </c>
      <c r="AB34" s="73">
        <v>34</v>
      </c>
      <c r="AC34" s="73"/>
      <c r="AD34" s="74"/>
      <c r="AE34" s="81" t="s">
        <v>1045</v>
      </c>
      <c r="AF34" s="90" t="s">
        <v>1120</v>
      </c>
      <c r="AG34" s="81">
        <v>2007</v>
      </c>
      <c r="AH34" s="81">
        <v>3489</v>
      </c>
      <c r="AI34" s="81">
        <v>4792</v>
      </c>
      <c r="AJ34" s="81">
        <v>35028</v>
      </c>
      <c r="AK34" s="81"/>
      <c r="AL34" s="81"/>
      <c r="AM34" s="81" t="s">
        <v>1240</v>
      </c>
      <c r="AN34" s="86" t="str">
        <f>HYPERLINK("http://t.co/RC5cVqV7lK")</f>
        <v>http://t.co/RC5cVqV7lK</v>
      </c>
      <c r="AO34" s="81"/>
      <c r="AP34" s="83">
        <v>39860.16090277778</v>
      </c>
      <c r="AQ34" s="86" t="str">
        <f>HYPERLINK("https://pbs.twimg.com/profile_banners/20960827/1553588304")</f>
        <v>https://pbs.twimg.com/profile_banners/20960827/1553588304</v>
      </c>
      <c r="AR34" s="81" t="b">
        <v>1</v>
      </c>
      <c r="AS34" s="81" t="b">
        <v>0</v>
      </c>
      <c r="AT34" s="81" t="b">
        <v>0</v>
      </c>
      <c r="AU34" s="81"/>
      <c r="AV34" s="81">
        <v>18</v>
      </c>
      <c r="AW34" s="86" t="str">
        <f>HYPERLINK("https://abs.twimg.com/images/themes/theme1/bg.png")</f>
        <v>https://abs.twimg.com/images/themes/theme1/bg.png</v>
      </c>
      <c r="AX34" s="81" t="b">
        <v>0</v>
      </c>
      <c r="AY34" s="81" t="s">
        <v>1294</v>
      </c>
      <c r="AZ34" s="86" t="str">
        <f>HYPERLINK("https://twitter.com/chiltonbell")</f>
        <v>https://twitter.com/chiltonbell</v>
      </c>
      <c r="BA34" s="81" t="s">
        <v>66</v>
      </c>
      <c r="BB34" s="81" t="str">
        <f>REPLACE(INDEX(GroupVertices[Group],MATCH(Vertices[[#This Row],[Vertex]],GroupVertices[Vertex],0)),1,1,"")</f>
        <v>1</v>
      </c>
      <c r="BC34" s="49" t="s">
        <v>1416</v>
      </c>
      <c r="BD34" s="49" t="s">
        <v>1416</v>
      </c>
      <c r="BE34" s="49" t="s">
        <v>522</v>
      </c>
      <c r="BF34" s="49" t="s">
        <v>522</v>
      </c>
      <c r="BG34" s="49"/>
      <c r="BH34" s="49"/>
      <c r="BI34" s="112" t="s">
        <v>1708</v>
      </c>
      <c r="BJ34" s="112" t="s">
        <v>1708</v>
      </c>
      <c r="BK34" s="112" t="s">
        <v>1750</v>
      </c>
      <c r="BL34" s="112" t="s">
        <v>1750</v>
      </c>
      <c r="BM34" s="112">
        <v>1</v>
      </c>
      <c r="BN34" s="115">
        <v>2.5641025641025643</v>
      </c>
      <c r="BO34" s="112">
        <v>1</v>
      </c>
      <c r="BP34" s="115">
        <v>2.5641025641025643</v>
      </c>
      <c r="BQ34" s="112">
        <v>0</v>
      </c>
      <c r="BR34" s="115">
        <v>0</v>
      </c>
      <c r="BS34" s="112">
        <v>37</v>
      </c>
      <c r="BT34" s="115">
        <v>94.87179487179488</v>
      </c>
      <c r="BU34" s="112">
        <v>39</v>
      </c>
      <c r="BV34" s="2"/>
      <c r="BW34" s="3"/>
      <c r="BX34" s="3"/>
      <c r="BY34" s="3"/>
      <c r="BZ34" s="3"/>
    </row>
    <row r="35" spans="1:78" ht="41.45" customHeight="1">
      <c r="A35" s="66" t="s">
        <v>277</v>
      </c>
      <c r="C35" s="67"/>
      <c r="D35" s="67" t="s">
        <v>64</v>
      </c>
      <c r="E35" s="68">
        <v>212.44291094067313</v>
      </c>
      <c r="F35" s="70">
        <v>99.71322742045575</v>
      </c>
      <c r="G35" s="105" t="str">
        <f>HYPERLINK("https://pbs.twimg.com/profile_images/1256876373387481088/s5C9FhMx_normal.jpg")</f>
        <v>https://pbs.twimg.com/profile_images/1256876373387481088/s5C9FhMx_normal.jpg</v>
      </c>
      <c r="H35" s="67"/>
      <c r="I35" s="71" t="s">
        <v>277</v>
      </c>
      <c r="J35" s="72"/>
      <c r="K35" s="72"/>
      <c r="L35" s="71" t="s">
        <v>1326</v>
      </c>
      <c r="M35" s="75">
        <v>96.571741676112</v>
      </c>
      <c r="N35" s="76">
        <v>7254.75244140625</v>
      </c>
      <c r="O35" s="76">
        <v>6960.0341796875</v>
      </c>
      <c r="P35" s="77"/>
      <c r="Q35" s="78"/>
      <c r="R35" s="78"/>
      <c r="S35" s="91"/>
      <c r="T35" s="49">
        <v>0</v>
      </c>
      <c r="U35" s="49">
        <v>1</v>
      </c>
      <c r="V35" s="50">
        <v>0</v>
      </c>
      <c r="W35" s="50">
        <v>0.012658</v>
      </c>
      <c r="X35" s="50">
        <v>0</v>
      </c>
      <c r="Y35" s="50">
        <v>0.0125</v>
      </c>
      <c r="Z35" s="50">
        <v>0</v>
      </c>
      <c r="AA35" s="50">
        <v>0</v>
      </c>
      <c r="AB35" s="73">
        <v>35</v>
      </c>
      <c r="AC35" s="73"/>
      <c r="AD35" s="74"/>
      <c r="AE35" s="81" t="s">
        <v>1046</v>
      </c>
      <c r="AF35" s="90" t="s">
        <v>1121</v>
      </c>
      <c r="AG35" s="81">
        <v>1886</v>
      </c>
      <c r="AH35" s="81">
        <v>3061</v>
      </c>
      <c r="AI35" s="81">
        <v>14400</v>
      </c>
      <c r="AJ35" s="81">
        <v>5688</v>
      </c>
      <c r="AK35" s="81"/>
      <c r="AL35" s="81" t="s">
        <v>1187</v>
      </c>
      <c r="AM35" s="81" t="s">
        <v>987</v>
      </c>
      <c r="AN35" s="86" t="str">
        <f>HYPERLINK("https://t.co/EAAxYqxQH1")</f>
        <v>https://t.co/EAAxYqxQH1</v>
      </c>
      <c r="AO35" s="81"/>
      <c r="AP35" s="83">
        <v>43115.550150462965</v>
      </c>
      <c r="AQ35" s="86" t="str">
        <f>HYPERLINK("https://pbs.twimg.com/profile_banners/952891170681745408/1631263463")</f>
        <v>https://pbs.twimg.com/profile_banners/952891170681745408/1631263463</v>
      </c>
      <c r="AR35" s="81" t="b">
        <v>1</v>
      </c>
      <c r="AS35" s="81" t="b">
        <v>0</v>
      </c>
      <c r="AT35" s="81" t="b">
        <v>0</v>
      </c>
      <c r="AU35" s="81"/>
      <c r="AV35" s="81">
        <v>25</v>
      </c>
      <c r="AW35" s="81"/>
      <c r="AX35" s="81" t="b">
        <v>0</v>
      </c>
      <c r="AY35" s="81" t="s">
        <v>1294</v>
      </c>
      <c r="AZ35" s="86" t="str">
        <f>HYPERLINK("https://twitter.com/radiolento")</f>
        <v>https://twitter.com/radiolento</v>
      </c>
      <c r="BA35" s="81" t="s">
        <v>66</v>
      </c>
      <c r="BB35" s="81" t="str">
        <f>REPLACE(INDEX(GroupVertices[Group],MATCH(Vertices[[#This Row],[Vertex]],GroupVertices[Vertex],0)),1,1,"")</f>
        <v>17</v>
      </c>
      <c r="BC35" s="49" t="s">
        <v>1453</v>
      </c>
      <c r="BD35" s="49" t="s">
        <v>1453</v>
      </c>
      <c r="BE35" s="49" t="s">
        <v>528</v>
      </c>
      <c r="BF35" s="49" t="s">
        <v>528</v>
      </c>
      <c r="BG35" s="49" t="s">
        <v>536</v>
      </c>
      <c r="BH35" s="49" t="s">
        <v>536</v>
      </c>
      <c r="BI35" s="112" t="s">
        <v>1715</v>
      </c>
      <c r="BJ35" s="112" t="s">
        <v>1715</v>
      </c>
      <c r="BK35" s="112" t="s">
        <v>1757</v>
      </c>
      <c r="BL35" s="112" t="s">
        <v>1757</v>
      </c>
      <c r="BM35" s="112">
        <v>1</v>
      </c>
      <c r="BN35" s="115">
        <v>4.761904761904762</v>
      </c>
      <c r="BO35" s="112">
        <v>0</v>
      </c>
      <c r="BP35" s="115">
        <v>0</v>
      </c>
      <c r="BQ35" s="112">
        <v>0</v>
      </c>
      <c r="BR35" s="115">
        <v>0</v>
      </c>
      <c r="BS35" s="112">
        <v>20</v>
      </c>
      <c r="BT35" s="115">
        <v>95.23809523809524</v>
      </c>
      <c r="BU35" s="112">
        <v>21</v>
      </c>
      <c r="BV35" s="2"/>
      <c r="BW35" s="3"/>
      <c r="BX35" s="3"/>
      <c r="BY35" s="3"/>
      <c r="BZ35" s="3"/>
    </row>
    <row r="36" spans="1:78" ht="41.45" customHeight="1">
      <c r="A36" s="66" t="s">
        <v>309</v>
      </c>
      <c r="C36" s="67"/>
      <c r="D36" s="67" t="s">
        <v>64</v>
      </c>
      <c r="E36" s="68">
        <v>945.8891145330152</v>
      </c>
      <c r="F36" s="70">
        <v>95.54351841994853</v>
      </c>
      <c r="G36" s="105" t="str">
        <f>HYPERLINK("https://pbs.twimg.com/profile_images/1256161795003289600/QzTJxsCq_normal.jpg")</f>
        <v>https://pbs.twimg.com/profile_images/1256161795003289600/QzTJxsCq_normal.jpg</v>
      </c>
      <c r="H36" s="67"/>
      <c r="I36" s="71" t="s">
        <v>309</v>
      </c>
      <c r="J36" s="72"/>
      <c r="K36" s="72"/>
      <c r="L36" s="71" t="s">
        <v>1327</v>
      </c>
      <c r="M36" s="75">
        <v>1486.1967612451547</v>
      </c>
      <c r="N36" s="76">
        <v>7254.75244140625</v>
      </c>
      <c r="O36" s="76">
        <v>6014.33203125</v>
      </c>
      <c r="P36" s="77"/>
      <c r="Q36" s="78"/>
      <c r="R36" s="78"/>
      <c r="S36" s="91"/>
      <c r="T36" s="49">
        <v>1</v>
      </c>
      <c r="U36" s="49">
        <v>0</v>
      </c>
      <c r="V36" s="50">
        <v>0</v>
      </c>
      <c r="W36" s="50">
        <v>0.012658</v>
      </c>
      <c r="X36" s="50">
        <v>0</v>
      </c>
      <c r="Y36" s="50">
        <v>0.0125</v>
      </c>
      <c r="Z36" s="50">
        <v>0</v>
      </c>
      <c r="AA36" s="50">
        <v>0</v>
      </c>
      <c r="AB36" s="73">
        <v>36</v>
      </c>
      <c r="AC36" s="73"/>
      <c r="AD36" s="74"/>
      <c r="AE36" s="81" t="s">
        <v>1047</v>
      </c>
      <c r="AF36" s="90" t="s">
        <v>961</v>
      </c>
      <c r="AG36" s="81">
        <v>26801</v>
      </c>
      <c r="AH36" s="81">
        <v>47452</v>
      </c>
      <c r="AI36" s="81">
        <v>33934</v>
      </c>
      <c r="AJ36" s="81">
        <v>57930</v>
      </c>
      <c r="AK36" s="81"/>
      <c r="AL36" s="81" t="s">
        <v>1188</v>
      </c>
      <c r="AM36" s="81" t="s">
        <v>1256</v>
      </c>
      <c r="AN36" s="81"/>
      <c r="AO36" s="81"/>
      <c r="AP36" s="83">
        <v>43951.54454861111</v>
      </c>
      <c r="AQ36" s="86" t="str">
        <f>HYPERLINK("https://pbs.twimg.com/profile_banners/1255845086811828224/1595632717")</f>
        <v>https://pbs.twimg.com/profile_banners/1255845086811828224/1595632717</v>
      </c>
      <c r="AR36" s="81" t="b">
        <v>1</v>
      </c>
      <c r="AS36" s="81" t="b">
        <v>0</v>
      </c>
      <c r="AT36" s="81" t="b">
        <v>0</v>
      </c>
      <c r="AU36" s="81"/>
      <c r="AV36" s="81">
        <v>291</v>
      </c>
      <c r="AW36" s="81"/>
      <c r="AX36" s="81" t="b">
        <v>0</v>
      </c>
      <c r="AY36" s="81" t="s">
        <v>1294</v>
      </c>
      <c r="AZ36" s="86" t="str">
        <f>HYPERLINK("https://twitter.com/grimartgroup")</f>
        <v>https://twitter.com/grimartgroup</v>
      </c>
      <c r="BA36" s="81" t="s">
        <v>65</v>
      </c>
      <c r="BB36" s="81" t="str">
        <f>REPLACE(INDEX(GroupVertices[Group],MATCH(Vertices[[#This Row],[Vertex]],GroupVertices[Vertex],0)),1,1,"")</f>
        <v>17</v>
      </c>
      <c r="BC36" s="49"/>
      <c r="BD36" s="49"/>
      <c r="BE36" s="49"/>
      <c r="BF36" s="49"/>
      <c r="BG36" s="49"/>
      <c r="BH36" s="49"/>
      <c r="BI36" s="49"/>
      <c r="BJ36" s="49"/>
      <c r="BK36" s="49"/>
      <c r="BL36" s="49"/>
      <c r="BM36" s="49"/>
      <c r="BN36" s="50"/>
      <c r="BO36" s="49"/>
      <c r="BP36" s="50"/>
      <c r="BQ36" s="49"/>
      <c r="BR36" s="50"/>
      <c r="BS36" s="49"/>
      <c r="BT36" s="50"/>
      <c r="BU36" s="49"/>
      <c r="BV36" s="2"/>
      <c r="BW36" s="3"/>
      <c r="BX36" s="3"/>
      <c r="BY36" s="3"/>
      <c r="BZ36" s="3"/>
    </row>
    <row r="37" spans="1:78" ht="41.45" customHeight="1">
      <c r="A37" s="66" t="s">
        <v>278</v>
      </c>
      <c r="C37" s="67"/>
      <c r="D37" s="67" t="s">
        <v>64</v>
      </c>
      <c r="E37" s="68">
        <v>264.75285396005444</v>
      </c>
      <c r="F37" s="70">
        <v>99.41584059214358</v>
      </c>
      <c r="G37" s="105" t="str">
        <f>HYPERLINK("https://pbs.twimg.com/profile_images/1524437536453578752/0sGBzX4D_normal.jpg")</f>
        <v>https://pbs.twimg.com/profile_images/1524437536453578752/0sGBzX4D_normal.jpg</v>
      </c>
      <c r="H37" s="67"/>
      <c r="I37" s="71" t="s">
        <v>278</v>
      </c>
      <c r="J37" s="72"/>
      <c r="K37" s="72"/>
      <c r="L37" s="71" t="s">
        <v>1328</v>
      </c>
      <c r="M37" s="75">
        <v>195.68085865828382</v>
      </c>
      <c r="N37" s="76">
        <v>524.3997192382812</v>
      </c>
      <c r="O37" s="76">
        <v>1023.1277465820312</v>
      </c>
      <c r="P37" s="77"/>
      <c r="Q37" s="78"/>
      <c r="R37" s="78"/>
      <c r="S37" s="91"/>
      <c r="T37" s="49">
        <v>1</v>
      </c>
      <c r="U37" s="49">
        <v>1</v>
      </c>
      <c r="V37" s="50">
        <v>0</v>
      </c>
      <c r="W37" s="50">
        <v>0</v>
      </c>
      <c r="X37" s="50">
        <v>0</v>
      </c>
      <c r="Y37" s="50">
        <v>0.0125</v>
      </c>
      <c r="Z37" s="50">
        <v>0</v>
      </c>
      <c r="AA37" s="50">
        <v>0</v>
      </c>
      <c r="AB37" s="73">
        <v>37</v>
      </c>
      <c r="AC37" s="73"/>
      <c r="AD37" s="74"/>
      <c r="AE37" s="81" t="s">
        <v>1048</v>
      </c>
      <c r="AF37" s="90" t="s">
        <v>1122</v>
      </c>
      <c r="AG37" s="81">
        <v>6200</v>
      </c>
      <c r="AH37" s="81">
        <v>6227</v>
      </c>
      <c r="AI37" s="81">
        <v>397457</v>
      </c>
      <c r="AJ37" s="81">
        <v>1</v>
      </c>
      <c r="AK37" s="81"/>
      <c r="AL37" s="81" t="s">
        <v>1189</v>
      </c>
      <c r="AM37" s="81" t="s">
        <v>1257</v>
      </c>
      <c r="AN37" s="86" t="str">
        <f>HYPERLINK("https://t.co/1doczoUeBE")</f>
        <v>https://t.co/1doczoUeBE</v>
      </c>
      <c r="AO37" s="81"/>
      <c r="AP37" s="83">
        <v>39926.61871527778</v>
      </c>
      <c r="AQ37" s="86" t="str">
        <f>HYPERLINK("https://pbs.twimg.com/profile_banners/34631113/1652313453")</f>
        <v>https://pbs.twimg.com/profile_banners/34631113/1652313453</v>
      </c>
      <c r="AR37" s="81" t="b">
        <v>0</v>
      </c>
      <c r="AS37" s="81" t="b">
        <v>0</v>
      </c>
      <c r="AT37" s="81" t="b">
        <v>0</v>
      </c>
      <c r="AU37" s="81"/>
      <c r="AV37" s="81">
        <v>30</v>
      </c>
      <c r="AW37" s="86" t="str">
        <f>HYPERLINK("https://abs.twimg.com/images/themes/theme15/bg.png")</f>
        <v>https://abs.twimg.com/images/themes/theme15/bg.png</v>
      </c>
      <c r="AX37" s="81" t="b">
        <v>0</v>
      </c>
      <c r="AY37" s="81" t="s">
        <v>1294</v>
      </c>
      <c r="AZ37" s="86" t="str">
        <f>HYPERLINK("https://twitter.com/realdavidcarter")</f>
        <v>https://twitter.com/realdavidcarter</v>
      </c>
      <c r="BA37" s="81" t="s">
        <v>66</v>
      </c>
      <c r="BB37" s="81" t="str">
        <f>REPLACE(INDEX(GroupVertices[Group],MATCH(Vertices[[#This Row],[Vertex]],GroupVertices[Vertex],0)),1,1,"")</f>
        <v>2</v>
      </c>
      <c r="BC37" s="49" t="s">
        <v>1419</v>
      </c>
      <c r="BD37" s="49" t="s">
        <v>1419</v>
      </c>
      <c r="BE37" s="49" t="s">
        <v>521</v>
      </c>
      <c r="BF37" s="49" t="s">
        <v>521</v>
      </c>
      <c r="BG37" s="49"/>
      <c r="BH37" s="49"/>
      <c r="BI37" s="112" t="s">
        <v>1716</v>
      </c>
      <c r="BJ37" s="112" t="s">
        <v>1716</v>
      </c>
      <c r="BK37" s="112" t="s">
        <v>1758</v>
      </c>
      <c r="BL37" s="112" t="s">
        <v>1758</v>
      </c>
      <c r="BM37" s="112">
        <v>0</v>
      </c>
      <c r="BN37" s="115">
        <v>0</v>
      </c>
      <c r="BO37" s="112">
        <v>0</v>
      </c>
      <c r="BP37" s="115">
        <v>0</v>
      </c>
      <c r="BQ37" s="112">
        <v>0</v>
      </c>
      <c r="BR37" s="115">
        <v>0</v>
      </c>
      <c r="BS37" s="112">
        <v>8</v>
      </c>
      <c r="BT37" s="115">
        <v>100</v>
      </c>
      <c r="BU37" s="112">
        <v>8</v>
      </c>
      <c r="BV37" s="2"/>
      <c r="BW37" s="3"/>
      <c r="BX37" s="3"/>
      <c r="BY37" s="3"/>
      <c r="BZ37" s="3"/>
    </row>
    <row r="38" spans="1:78" ht="41.45" customHeight="1">
      <c r="A38" s="66" t="s">
        <v>279</v>
      </c>
      <c r="C38" s="67"/>
      <c r="D38" s="67" t="s">
        <v>64</v>
      </c>
      <c r="E38" s="68">
        <v>162</v>
      </c>
      <c r="F38" s="70">
        <v>100</v>
      </c>
      <c r="G38" s="105" t="str">
        <f>HYPERLINK("https://pbs.twimg.com/profile_images/1505581284159983616/IYt4R5kG_normal.jpg")</f>
        <v>https://pbs.twimg.com/profile_images/1505581284159983616/IYt4R5kG_normal.jpg</v>
      </c>
      <c r="H38" s="67"/>
      <c r="I38" s="71" t="s">
        <v>279</v>
      </c>
      <c r="J38" s="72"/>
      <c r="K38" s="72"/>
      <c r="L38" s="71" t="s">
        <v>1329</v>
      </c>
      <c r="M38" s="75">
        <v>1</v>
      </c>
      <c r="N38" s="76">
        <v>524.3997192382812</v>
      </c>
      <c r="O38" s="76">
        <v>2405.73291015625</v>
      </c>
      <c r="P38" s="77"/>
      <c r="Q38" s="78"/>
      <c r="R38" s="78"/>
      <c r="S38" s="91"/>
      <c r="T38" s="49">
        <v>1</v>
      </c>
      <c r="U38" s="49">
        <v>1</v>
      </c>
      <c r="V38" s="50">
        <v>0</v>
      </c>
      <c r="W38" s="50">
        <v>0</v>
      </c>
      <c r="X38" s="50">
        <v>0</v>
      </c>
      <c r="Y38" s="50">
        <v>0.0125</v>
      </c>
      <c r="Z38" s="50">
        <v>0</v>
      </c>
      <c r="AA38" s="50">
        <v>0</v>
      </c>
      <c r="AB38" s="73">
        <v>38</v>
      </c>
      <c r="AC38" s="73"/>
      <c r="AD38" s="74"/>
      <c r="AE38" s="81" t="s">
        <v>1049</v>
      </c>
      <c r="AF38" s="90" t="s">
        <v>1123</v>
      </c>
      <c r="AG38" s="81">
        <v>68</v>
      </c>
      <c r="AH38" s="81">
        <v>8</v>
      </c>
      <c r="AI38" s="81">
        <v>41</v>
      </c>
      <c r="AJ38" s="81">
        <v>51</v>
      </c>
      <c r="AK38" s="81"/>
      <c r="AL38" s="81" t="s">
        <v>1190</v>
      </c>
      <c r="AM38" s="81" t="s">
        <v>1258</v>
      </c>
      <c r="AN38" s="86" t="str">
        <f>HYPERLINK("https://t.co/WkbRYwFpSM")</f>
        <v>https://t.co/WkbRYwFpSM</v>
      </c>
      <c r="AO38" s="81"/>
      <c r="AP38" s="83">
        <v>44640.16585648148</v>
      </c>
      <c r="AQ38" s="86" t="str">
        <f>HYPERLINK("https://pbs.twimg.com/profile_banners/1505393281051475977/1647794318")</f>
        <v>https://pbs.twimg.com/profile_banners/1505393281051475977/1647794318</v>
      </c>
      <c r="AR38" s="81" t="b">
        <v>1</v>
      </c>
      <c r="AS38" s="81" t="b">
        <v>0</v>
      </c>
      <c r="AT38" s="81" t="b">
        <v>0</v>
      </c>
      <c r="AU38" s="81"/>
      <c r="AV38" s="81">
        <v>0</v>
      </c>
      <c r="AW38" s="81"/>
      <c r="AX38" s="81" t="b">
        <v>0</v>
      </c>
      <c r="AY38" s="81" t="s">
        <v>1294</v>
      </c>
      <c r="AZ38" s="86" t="str">
        <f>HYPERLINK("https://twitter.com/dritsumotanoshi")</f>
        <v>https://twitter.com/dritsumotanoshi</v>
      </c>
      <c r="BA38" s="81" t="s">
        <v>66</v>
      </c>
      <c r="BB38" s="81" t="str">
        <f>REPLACE(INDEX(GroupVertices[Group],MATCH(Vertices[[#This Row],[Vertex]],GroupVertices[Vertex],0)),1,1,"")</f>
        <v>2</v>
      </c>
      <c r="BC38" s="49"/>
      <c r="BD38" s="49"/>
      <c r="BE38" s="49"/>
      <c r="BF38" s="49"/>
      <c r="BG38" s="49" t="s">
        <v>537</v>
      </c>
      <c r="BH38" s="49" t="s">
        <v>537</v>
      </c>
      <c r="BI38" s="112" t="s">
        <v>1717</v>
      </c>
      <c r="BJ38" s="112" t="s">
        <v>1717</v>
      </c>
      <c r="BK38" s="112" t="s">
        <v>1759</v>
      </c>
      <c r="BL38" s="112" t="s">
        <v>1759</v>
      </c>
      <c r="BM38" s="112">
        <v>0</v>
      </c>
      <c r="BN38" s="115">
        <v>0</v>
      </c>
      <c r="BO38" s="112">
        <v>0</v>
      </c>
      <c r="BP38" s="115">
        <v>0</v>
      </c>
      <c r="BQ38" s="112">
        <v>0</v>
      </c>
      <c r="BR38" s="115">
        <v>0</v>
      </c>
      <c r="BS38" s="112">
        <v>36</v>
      </c>
      <c r="BT38" s="115">
        <v>100</v>
      </c>
      <c r="BU38" s="112">
        <v>36</v>
      </c>
      <c r="BV38" s="2"/>
      <c r="BW38" s="3"/>
      <c r="BX38" s="3"/>
      <c r="BY38" s="3"/>
      <c r="BZ38" s="3"/>
    </row>
    <row r="39" spans="1:78" ht="41.45" customHeight="1">
      <c r="A39" s="66" t="s">
        <v>280</v>
      </c>
      <c r="C39" s="67"/>
      <c r="D39" s="67" t="s">
        <v>64</v>
      </c>
      <c r="E39" s="68">
        <v>172.0786687434689</v>
      </c>
      <c r="F39" s="70">
        <v>99.94270184293417</v>
      </c>
      <c r="G39" s="105" t="str">
        <f>HYPERLINK("https://pbs.twimg.com/profile_images/1525568713440862208/GShUchll_normal.jpg")</f>
        <v>https://pbs.twimg.com/profile_images/1525568713440862208/GShUchll_normal.jpg</v>
      </c>
      <c r="H39" s="67"/>
      <c r="I39" s="71" t="s">
        <v>280</v>
      </c>
      <c r="J39" s="72"/>
      <c r="K39" s="72"/>
      <c r="L39" s="71" t="s">
        <v>1330</v>
      </c>
      <c r="M39" s="75">
        <v>20.095565811473406</v>
      </c>
      <c r="N39" s="76">
        <v>5205.251953125</v>
      </c>
      <c r="O39" s="76">
        <v>3307.19140625</v>
      </c>
      <c r="P39" s="77"/>
      <c r="Q39" s="78"/>
      <c r="R39" s="78"/>
      <c r="S39" s="91"/>
      <c r="T39" s="49">
        <v>0</v>
      </c>
      <c r="U39" s="49">
        <v>1</v>
      </c>
      <c r="V39" s="50">
        <v>0</v>
      </c>
      <c r="W39" s="50">
        <v>0.018987</v>
      </c>
      <c r="X39" s="50">
        <v>0</v>
      </c>
      <c r="Y39" s="50">
        <v>0.011628</v>
      </c>
      <c r="Z39" s="50">
        <v>0</v>
      </c>
      <c r="AA39" s="50">
        <v>0</v>
      </c>
      <c r="AB39" s="73">
        <v>39</v>
      </c>
      <c r="AC39" s="73"/>
      <c r="AD39" s="74"/>
      <c r="AE39" s="81" t="s">
        <v>1050</v>
      </c>
      <c r="AF39" s="90" t="s">
        <v>1124</v>
      </c>
      <c r="AG39" s="81">
        <v>751</v>
      </c>
      <c r="AH39" s="81">
        <v>618</v>
      </c>
      <c r="AI39" s="81">
        <v>23057</v>
      </c>
      <c r="AJ39" s="81">
        <v>91584</v>
      </c>
      <c r="AK39" s="81"/>
      <c r="AL39" s="81" t="s">
        <v>1191</v>
      </c>
      <c r="AM39" s="81" t="s">
        <v>1259</v>
      </c>
      <c r="AN39" s="81"/>
      <c r="AO39" s="81"/>
      <c r="AP39" s="83">
        <v>42906.948796296296</v>
      </c>
      <c r="AQ39" s="86" t="str">
        <f>HYPERLINK("https://pbs.twimg.com/profile_banners/877296571435671552/1652558860")</f>
        <v>https://pbs.twimg.com/profile_banners/877296571435671552/1652558860</v>
      </c>
      <c r="AR39" s="81" t="b">
        <v>1</v>
      </c>
      <c r="AS39" s="81" t="b">
        <v>0</v>
      </c>
      <c r="AT39" s="81" t="b">
        <v>0</v>
      </c>
      <c r="AU39" s="81"/>
      <c r="AV39" s="81">
        <v>0</v>
      </c>
      <c r="AW39" s="81"/>
      <c r="AX39" s="81" t="b">
        <v>0</v>
      </c>
      <c r="AY39" s="81" t="s">
        <v>1294</v>
      </c>
      <c r="AZ39" s="86" t="str">
        <f>HYPERLINK("https://twitter.com/michaeldaly64")</f>
        <v>https://twitter.com/michaeldaly64</v>
      </c>
      <c r="BA39" s="81" t="s">
        <v>66</v>
      </c>
      <c r="BB39" s="81" t="str">
        <f>REPLACE(INDEX(GroupVertices[Group],MATCH(Vertices[[#This Row],[Vertex]],GroupVertices[Vertex],0)),1,1,"")</f>
        <v>8</v>
      </c>
      <c r="BC39" s="49"/>
      <c r="BD39" s="49"/>
      <c r="BE39" s="49"/>
      <c r="BF39" s="49"/>
      <c r="BG39" s="49"/>
      <c r="BH39" s="49"/>
      <c r="BI39" s="112" t="s">
        <v>1718</v>
      </c>
      <c r="BJ39" s="112" t="s">
        <v>1739</v>
      </c>
      <c r="BK39" s="112" t="s">
        <v>1760</v>
      </c>
      <c r="BL39" s="112" t="s">
        <v>1779</v>
      </c>
      <c r="BM39" s="112">
        <v>2</v>
      </c>
      <c r="BN39" s="115">
        <v>2.857142857142857</v>
      </c>
      <c r="BO39" s="112">
        <v>0</v>
      </c>
      <c r="BP39" s="115">
        <v>0</v>
      </c>
      <c r="BQ39" s="112">
        <v>0</v>
      </c>
      <c r="BR39" s="115">
        <v>0</v>
      </c>
      <c r="BS39" s="112">
        <v>68</v>
      </c>
      <c r="BT39" s="115">
        <v>97.14285714285714</v>
      </c>
      <c r="BU39" s="112">
        <v>70</v>
      </c>
      <c r="BV39" s="2"/>
      <c r="BW39" s="3"/>
      <c r="BX39" s="3"/>
      <c r="BY39" s="3"/>
      <c r="BZ39" s="3"/>
    </row>
    <row r="40" spans="1:78" ht="41.45" customHeight="1">
      <c r="A40" s="66" t="s">
        <v>310</v>
      </c>
      <c r="C40" s="67"/>
      <c r="D40" s="67" t="s">
        <v>64</v>
      </c>
      <c r="E40" s="68">
        <v>202.69469035272778</v>
      </c>
      <c r="F40" s="70">
        <v>99.76864694942107</v>
      </c>
      <c r="G40" s="105" t="str">
        <f>HYPERLINK("https://pbs.twimg.com/profile_images/1424338055956242432/9iXgtgC__normal.jpg")</f>
        <v>https://pbs.twimg.com/profile_images/1424338055956242432/9iXgtgC__normal.jpg</v>
      </c>
      <c r="H40" s="67"/>
      <c r="I40" s="71" t="s">
        <v>310</v>
      </c>
      <c r="J40" s="72"/>
      <c r="K40" s="72"/>
      <c r="L40" s="71" t="s">
        <v>1331</v>
      </c>
      <c r="M40" s="75">
        <v>78.10225998960493</v>
      </c>
      <c r="N40" s="76">
        <v>5695.357421875</v>
      </c>
      <c r="O40" s="76">
        <v>4182.78955078125</v>
      </c>
      <c r="P40" s="77"/>
      <c r="Q40" s="78"/>
      <c r="R40" s="78"/>
      <c r="S40" s="91"/>
      <c r="T40" s="49">
        <v>2</v>
      </c>
      <c r="U40" s="49">
        <v>0</v>
      </c>
      <c r="V40" s="50">
        <v>4</v>
      </c>
      <c r="W40" s="50">
        <v>0.028481</v>
      </c>
      <c r="X40" s="50">
        <v>0</v>
      </c>
      <c r="Y40" s="50">
        <v>0.013372</v>
      </c>
      <c r="Z40" s="50">
        <v>0</v>
      </c>
      <c r="AA40" s="50">
        <v>0</v>
      </c>
      <c r="AB40" s="73">
        <v>40</v>
      </c>
      <c r="AC40" s="73"/>
      <c r="AD40" s="74"/>
      <c r="AE40" s="81" t="s">
        <v>1051</v>
      </c>
      <c r="AF40" s="90" t="s">
        <v>962</v>
      </c>
      <c r="AG40" s="81">
        <v>2778</v>
      </c>
      <c r="AH40" s="81">
        <v>2471</v>
      </c>
      <c r="AI40" s="81">
        <v>20941</v>
      </c>
      <c r="AJ40" s="81">
        <v>47675</v>
      </c>
      <c r="AK40" s="81"/>
      <c r="AL40" s="81" t="s">
        <v>1192</v>
      </c>
      <c r="AM40" s="81"/>
      <c r="AN40" s="81"/>
      <c r="AO40" s="81"/>
      <c r="AP40" s="83">
        <v>43868.69306712963</v>
      </c>
      <c r="AQ40" s="86" t="str">
        <f>HYPERLINK("https://pbs.twimg.com/profile_banners/1225820982235009024/1632690018")</f>
        <v>https://pbs.twimg.com/profile_banners/1225820982235009024/1632690018</v>
      </c>
      <c r="AR40" s="81" t="b">
        <v>1</v>
      </c>
      <c r="AS40" s="81" t="b">
        <v>0</v>
      </c>
      <c r="AT40" s="81" t="b">
        <v>0</v>
      </c>
      <c r="AU40" s="81"/>
      <c r="AV40" s="81">
        <v>5</v>
      </c>
      <c r="AW40" s="81"/>
      <c r="AX40" s="81" t="b">
        <v>0</v>
      </c>
      <c r="AY40" s="81" t="s">
        <v>1294</v>
      </c>
      <c r="AZ40" s="86" t="str">
        <f>HYPERLINK("https://twitter.com/collettwriter")</f>
        <v>https://twitter.com/collettwriter</v>
      </c>
      <c r="BA40" s="81" t="s">
        <v>65</v>
      </c>
      <c r="BB40" s="81" t="str">
        <f>REPLACE(INDEX(GroupVertices[Group],MATCH(Vertices[[#This Row],[Vertex]],GroupVertices[Vertex],0)),1,1,"")</f>
        <v>8</v>
      </c>
      <c r="BC40" s="49"/>
      <c r="BD40" s="49"/>
      <c r="BE40" s="49"/>
      <c r="BF40" s="49"/>
      <c r="BG40" s="49"/>
      <c r="BH40" s="49"/>
      <c r="BI40" s="49"/>
      <c r="BJ40" s="49"/>
      <c r="BK40" s="49"/>
      <c r="BL40" s="49"/>
      <c r="BM40" s="49"/>
      <c r="BN40" s="50"/>
      <c r="BO40" s="49"/>
      <c r="BP40" s="50"/>
      <c r="BQ40" s="49"/>
      <c r="BR40" s="50"/>
      <c r="BS40" s="49"/>
      <c r="BT40" s="50"/>
      <c r="BU40" s="49"/>
      <c r="BV40" s="2"/>
      <c r="BW40" s="3"/>
      <c r="BX40" s="3"/>
      <c r="BY40" s="3"/>
      <c r="BZ40" s="3"/>
    </row>
    <row r="41" spans="1:78" ht="41.45" customHeight="1">
      <c r="A41" s="66" t="s">
        <v>281</v>
      </c>
      <c r="C41" s="67"/>
      <c r="D41" s="67" t="s">
        <v>64</v>
      </c>
      <c r="E41" s="68">
        <v>274.2532384313571</v>
      </c>
      <c r="F41" s="70">
        <v>99.36183003425366</v>
      </c>
      <c r="G41" s="105" t="str">
        <f>HYPERLINK("https://pbs.twimg.com/profile_images/832526460489449472/uqWs_iLi_normal.jpg")</f>
        <v>https://pbs.twimg.com/profile_images/832526460489449472/uqWs_iLi_normal.jpg</v>
      </c>
      <c r="H41" s="67"/>
      <c r="I41" s="71" t="s">
        <v>281</v>
      </c>
      <c r="J41" s="72"/>
      <c r="K41" s="72"/>
      <c r="L41" s="71" t="s">
        <v>1332</v>
      </c>
      <c r="M41" s="75">
        <v>213.68077725106613</v>
      </c>
      <c r="N41" s="76">
        <v>6169.21484375</v>
      </c>
      <c r="O41" s="76">
        <v>5066.7158203125</v>
      </c>
      <c r="P41" s="77"/>
      <c r="Q41" s="78"/>
      <c r="R41" s="78"/>
      <c r="S41" s="91"/>
      <c r="T41" s="49">
        <v>0</v>
      </c>
      <c r="U41" s="49">
        <v>2</v>
      </c>
      <c r="V41" s="50">
        <v>4</v>
      </c>
      <c r="W41" s="50">
        <v>0.028481</v>
      </c>
      <c r="X41" s="50">
        <v>0</v>
      </c>
      <c r="Y41" s="50">
        <v>0.013372</v>
      </c>
      <c r="Z41" s="50">
        <v>0</v>
      </c>
      <c r="AA41" s="50">
        <v>0</v>
      </c>
      <c r="AB41" s="73">
        <v>41</v>
      </c>
      <c r="AC41" s="73"/>
      <c r="AD41" s="74"/>
      <c r="AE41" s="81" t="s">
        <v>1052</v>
      </c>
      <c r="AF41" s="90" t="s">
        <v>1125</v>
      </c>
      <c r="AG41" s="81">
        <v>2183</v>
      </c>
      <c r="AH41" s="81">
        <v>6802</v>
      </c>
      <c r="AI41" s="81">
        <v>44100</v>
      </c>
      <c r="AJ41" s="81">
        <v>94713</v>
      </c>
      <c r="AK41" s="81"/>
      <c r="AL41" s="81" t="s">
        <v>1193</v>
      </c>
      <c r="AM41" s="81" t="s">
        <v>989</v>
      </c>
      <c r="AN41" s="81"/>
      <c r="AO41" s="81"/>
      <c r="AP41" s="83">
        <v>39920.57056712963</v>
      </c>
      <c r="AQ41" s="86" t="str">
        <f>HYPERLINK("https://pbs.twimg.com/profile_banners/32407902/1495904689")</f>
        <v>https://pbs.twimg.com/profile_banners/32407902/1495904689</v>
      </c>
      <c r="AR41" s="81" t="b">
        <v>1</v>
      </c>
      <c r="AS41" s="81" t="b">
        <v>0</v>
      </c>
      <c r="AT41" s="81" t="b">
        <v>1</v>
      </c>
      <c r="AU41" s="81"/>
      <c r="AV41" s="81">
        <v>75</v>
      </c>
      <c r="AW41" s="86" t="str">
        <f>HYPERLINK("https://abs.twimg.com/images/themes/theme1/bg.png")</f>
        <v>https://abs.twimg.com/images/themes/theme1/bg.png</v>
      </c>
      <c r="AX41" s="81" t="b">
        <v>0</v>
      </c>
      <c r="AY41" s="81" t="s">
        <v>1294</v>
      </c>
      <c r="AZ41" s="86" t="str">
        <f>HYPERLINK("https://twitter.com/caroline_binnie")</f>
        <v>https://twitter.com/caroline_binnie</v>
      </c>
      <c r="BA41" s="81" t="s">
        <v>66</v>
      </c>
      <c r="BB41" s="81" t="str">
        <f>REPLACE(INDEX(GroupVertices[Group],MATCH(Vertices[[#This Row],[Vertex]],GroupVertices[Vertex],0)),1,1,"")</f>
        <v>8</v>
      </c>
      <c r="BC41" s="49"/>
      <c r="BD41" s="49"/>
      <c r="BE41" s="49"/>
      <c r="BF41" s="49"/>
      <c r="BG41" s="49"/>
      <c r="BH41" s="49"/>
      <c r="BI41" s="112" t="s">
        <v>1719</v>
      </c>
      <c r="BJ41" s="112" t="s">
        <v>1740</v>
      </c>
      <c r="BK41" s="112" t="s">
        <v>1761</v>
      </c>
      <c r="BL41" s="112" t="s">
        <v>1780</v>
      </c>
      <c r="BM41" s="112">
        <v>6</v>
      </c>
      <c r="BN41" s="115">
        <v>9.836065573770492</v>
      </c>
      <c r="BO41" s="112">
        <v>2</v>
      </c>
      <c r="BP41" s="115">
        <v>3.278688524590164</v>
      </c>
      <c r="BQ41" s="112">
        <v>0</v>
      </c>
      <c r="BR41" s="115">
        <v>0</v>
      </c>
      <c r="BS41" s="112">
        <v>53</v>
      </c>
      <c r="BT41" s="115">
        <v>86.88524590163935</v>
      </c>
      <c r="BU41" s="112">
        <v>61</v>
      </c>
      <c r="BV41" s="2"/>
      <c r="BW41" s="3"/>
      <c r="BX41" s="3"/>
      <c r="BY41" s="3"/>
      <c r="BZ41" s="3"/>
    </row>
    <row r="42" spans="1:78" ht="41.45" customHeight="1">
      <c r="A42" s="66" t="s">
        <v>311</v>
      </c>
      <c r="C42" s="67"/>
      <c r="D42" s="67" t="s">
        <v>64</v>
      </c>
      <c r="E42" s="68">
        <v>182.37212878802816</v>
      </c>
      <c r="F42" s="70">
        <v>99.884182577603</v>
      </c>
      <c r="G42" s="105" t="str">
        <f>HYPERLINK("https://pbs.twimg.com/profile_images/1248763753925140481/EUe_qQ7S_normal.jpg")</f>
        <v>https://pbs.twimg.com/profile_images/1248763753925140481/EUe_qQ7S_normal.jpg</v>
      </c>
      <c r="H42" s="67"/>
      <c r="I42" s="71" t="s">
        <v>311</v>
      </c>
      <c r="J42" s="72"/>
      <c r="K42" s="72"/>
      <c r="L42" s="71" t="s">
        <v>1333</v>
      </c>
      <c r="M42" s="75">
        <v>39.598086304174934</v>
      </c>
      <c r="N42" s="76">
        <v>6642.841796875</v>
      </c>
      <c r="O42" s="76">
        <v>5950.732421875</v>
      </c>
      <c r="P42" s="77"/>
      <c r="Q42" s="78"/>
      <c r="R42" s="78"/>
      <c r="S42" s="91"/>
      <c r="T42" s="49">
        <v>1</v>
      </c>
      <c r="U42" s="49">
        <v>0</v>
      </c>
      <c r="V42" s="50">
        <v>0</v>
      </c>
      <c r="W42" s="50">
        <v>0.018987</v>
      </c>
      <c r="X42" s="50">
        <v>0</v>
      </c>
      <c r="Y42" s="50">
        <v>0.011628</v>
      </c>
      <c r="Z42" s="50">
        <v>0</v>
      </c>
      <c r="AA42" s="50">
        <v>0</v>
      </c>
      <c r="AB42" s="73">
        <v>42</v>
      </c>
      <c r="AC42" s="73"/>
      <c r="AD42" s="74"/>
      <c r="AE42" s="81" t="s">
        <v>1053</v>
      </c>
      <c r="AF42" s="90" t="s">
        <v>1126</v>
      </c>
      <c r="AG42" s="81">
        <v>4999</v>
      </c>
      <c r="AH42" s="81">
        <v>1241</v>
      </c>
      <c r="AI42" s="81">
        <v>7641</v>
      </c>
      <c r="AJ42" s="81">
        <v>98300</v>
      </c>
      <c r="AK42" s="81"/>
      <c r="AL42" s="81" t="s">
        <v>1194</v>
      </c>
      <c r="AM42" s="81" t="s">
        <v>1260</v>
      </c>
      <c r="AN42" s="81"/>
      <c r="AO42" s="81"/>
      <c r="AP42" s="83">
        <v>40520.57642361111</v>
      </c>
      <c r="AQ42" s="86" t="str">
        <f>HYPERLINK("https://pbs.twimg.com/profile_banners/224232366/1544379813")</f>
        <v>https://pbs.twimg.com/profile_banners/224232366/1544379813</v>
      </c>
      <c r="AR42" s="81" t="b">
        <v>0</v>
      </c>
      <c r="AS42" s="81" t="b">
        <v>0</v>
      </c>
      <c r="AT42" s="81" t="b">
        <v>1</v>
      </c>
      <c r="AU42" s="81"/>
      <c r="AV42" s="81">
        <v>4</v>
      </c>
      <c r="AW42" s="86" t="str">
        <f>HYPERLINK("https://abs.twimg.com/images/themes/theme1/bg.png")</f>
        <v>https://abs.twimg.com/images/themes/theme1/bg.png</v>
      </c>
      <c r="AX42" s="81" t="b">
        <v>0</v>
      </c>
      <c r="AY42" s="81" t="s">
        <v>1294</v>
      </c>
      <c r="AZ42" s="86" t="str">
        <f>HYPERLINK("https://twitter.com/abrown667")</f>
        <v>https://twitter.com/abrown667</v>
      </c>
      <c r="BA42" s="81" t="s">
        <v>65</v>
      </c>
      <c r="BB42" s="81" t="str">
        <f>REPLACE(INDEX(GroupVertices[Group],MATCH(Vertices[[#This Row],[Vertex]],GroupVertices[Vertex],0)),1,1,"")</f>
        <v>8</v>
      </c>
      <c r="BC42" s="49"/>
      <c r="BD42" s="49"/>
      <c r="BE42" s="49"/>
      <c r="BF42" s="49"/>
      <c r="BG42" s="49"/>
      <c r="BH42" s="49"/>
      <c r="BI42" s="49"/>
      <c r="BJ42" s="49"/>
      <c r="BK42" s="49"/>
      <c r="BL42" s="49"/>
      <c r="BM42" s="49"/>
      <c r="BN42" s="50"/>
      <c r="BO42" s="49"/>
      <c r="BP42" s="50"/>
      <c r="BQ42" s="49"/>
      <c r="BR42" s="50"/>
      <c r="BS42" s="49"/>
      <c r="BT42" s="50"/>
      <c r="BU42" s="49"/>
      <c r="BV42" s="2"/>
      <c r="BW42" s="3"/>
      <c r="BX42" s="3"/>
      <c r="BY42" s="3"/>
      <c r="BZ42" s="3"/>
    </row>
    <row r="43" spans="1:78" ht="41.45" customHeight="1">
      <c r="A43" s="66" t="s">
        <v>282</v>
      </c>
      <c r="C43" s="67"/>
      <c r="D43" s="67" t="s">
        <v>64</v>
      </c>
      <c r="E43" s="68">
        <v>162.28088093219503</v>
      </c>
      <c r="F43" s="70">
        <v>99.99840316611456</v>
      </c>
      <c r="G43" s="105" t="str">
        <f>HYPERLINK("https://pbs.twimg.com/profile_images/1476072327360442368/SaCDg2fX_normal.jpg")</f>
        <v>https://pbs.twimg.com/profile_images/1476072327360442368/SaCDg2fX_normal.jpg</v>
      </c>
      <c r="H43" s="67"/>
      <c r="I43" s="71" t="s">
        <v>282</v>
      </c>
      <c r="J43" s="72"/>
      <c r="K43" s="72"/>
      <c r="L43" s="71" t="s">
        <v>1334</v>
      </c>
      <c r="M43" s="75">
        <v>1.53217150622139</v>
      </c>
      <c r="N43" s="76">
        <v>1252.5469970703125</v>
      </c>
      <c r="O43" s="76">
        <v>2405.73291015625</v>
      </c>
      <c r="P43" s="77"/>
      <c r="Q43" s="78"/>
      <c r="R43" s="78"/>
      <c r="S43" s="91"/>
      <c r="T43" s="49">
        <v>1</v>
      </c>
      <c r="U43" s="49">
        <v>1</v>
      </c>
      <c r="V43" s="50">
        <v>0</v>
      </c>
      <c r="W43" s="50">
        <v>0</v>
      </c>
      <c r="X43" s="50">
        <v>0</v>
      </c>
      <c r="Y43" s="50">
        <v>0.0125</v>
      </c>
      <c r="Z43" s="50">
        <v>0</v>
      </c>
      <c r="AA43" s="50">
        <v>0</v>
      </c>
      <c r="AB43" s="73">
        <v>43</v>
      </c>
      <c r="AC43" s="73"/>
      <c r="AD43" s="74"/>
      <c r="AE43" s="81" t="s">
        <v>1054</v>
      </c>
      <c r="AF43" s="90" t="s">
        <v>1127</v>
      </c>
      <c r="AG43" s="81">
        <v>2</v>
      </c>
      <c r="AH43" s="81">
        <v>25</v>
      </c>
      <c r="AI43" s="81">
        <v>6609</v>
      </c>
      <c r="AJ43" s="81">
        <v>40</v>
      </c>
      <c r="AK43" s="81"/>
      <c r="AL43" s="81" t="s">
        <v>1195</v>
      </c>
      <c r="AM43" s="81" t="s">
        <v>1261</v>
      </c>
      <c r="AN43" s="81"/>
      <c r="AO43" s="81"/>
      <c r="AP43" s="83">
        <v>44553.258518518516</v>
      </c>
      <c r="AQ43" s="86" t="str">
        <f>HYPERLINK("https://pbs.twimg.com/profile_banners/1473899171707240448/1640758040")</f>
        <v>https://pbs.twimg.com/profile_banners/1473899171707240448/1640758040</v>
      </c>
      <c r="AR43" s="81" t="b">
        <v>1</v>
      </c>
      <c r="AS43" s="81" t="b">
        <v>0</v>
      </c>
      <c r="AT43" s="81" t="b">
        <v>0</v>
      </c>
      <c r="AU43" s="81"/>
      <c r="AV43" s="81">
        <v>0</v>
      </c>
      <c r="AW43" s="81"/>
      <c r="AX43" s="81" t="b">
        <v>0</v>
      </c>
      <c r="AY43" s="81" t="s">
        <v>1294</v>
      </c>
      <c r="AZ43" s="86" t="str">
        <f>HYPERLINK("https://twitter.com/tom40591965")</f>
        <v>https://twitter.com/tom40591965</v>
      </c>
      <c r="BA43" s="81" t="s">
        <v>66</v>
      </c>
      <c r="BB43" s="81" t="str">
        <f>REPLACE(INDEX(GroupVertices[Group],MATCH(Vertices[[#This Row],[Vertex]],GroupVertices[Vertex],0)),1,1,"")</f>
        <v>2</v>
      </c>
      <c r="BC43" s="49"/>
      <c r="BD43" s="49"/>
      <c r="BE43" s="49"/>
      <c r="BF43" s="49"/>
      <c r="BG43" s="49"/>
      <c r="BH43" s="49"/>
      <c r="BI43" s="112" t="s">
        <v>1720</v>
      </c>
      <c r="BJ43" s="112" t="s">
        <v>1720</v>
      </c>
      <c r="BK43" s="112" t="s">
        <v>1762</v>
      </c>
      <c r="BL43" s="112" t="s">
        <v>1762</v>
      </c>
      <c r="BM43" s="112">
        <v>1</v>
      </c>
      <c r="BN43" s="115">
        <v>3.225806451612903</v>
      </c>
      <c r="BO43" s="112">
        <v>0</v>
      </c>
      <c r="BP43" s="115">
        <v>0</v>
      </c>
      <c r="BQ43" s="112">
        <v>0</v>
      </c>
      <c r="BR43" s="115">
        <v>0</v>
      </c>
      <c r="BS43" s="112">
        <v>30</v>
      </c>
      <c r="BT43" s="115">
        <v>96.7741935483871</v>
      </c>
      <c r="BU43" s="112">
        <v>31</v>
      </c>
      <c r="BV43" s="2"/>
      <c r="BW43" s="3"/>
      <c r="BX43" s="3"/>
      <c r="BY43" s="3"/>
      <c r="BZ43" s="3"/>
    </row>
    <row r="44" spans="1:78" ht="41.45" customHeight="1">
      <c r="A44" s="66" t="s">
        <v>283</v>
      </c>
      <c r="C44" s="67"/>
      <c r="D44" s="67" t="s">
        <v>64</v>
      </c>
      <c r="E44" s="68">
        <v>263.97630079457406</v>
      </c>
      <c r="F44" s="70">
        <v>99.4202553681798</v>
      </c>
      <c r="G44" s="105" t="str">
        <f>HYPERLINK("https://pbs.twimg.com/profile_images/1184716336892506112/Nc631qL4_normal.jpg")</f>
        <v>https://pbs.twimg.com/profile_images/1184716336892506112/Nc631qL4_normal.jpg</v>
      </c>
      <c r="H44" s="67"/>
      <c r="I44" s="71" t="s">
        <v>283</v>
      </c>
      <c r="J44" s="72"/>
      <c r="K44" s="72"/>
      <c r="L44" s="71" t="s">
        <v>1335</v>
      </c>
      <c r="M44" s="75">
        <v>194.2095609646129</v>
      </c>
      <c r="N44" s="76">
        <v>8320.9208984375</v>
      </c>
      <c r="O44" s="76">
        <v>6014.33203125</v>
      </c>
      <c r="P44" s="77"/>
      <c r="Q44" s="78"/>
      <c r="R44" s="78"/>
      <c r="S44" s="91"/>
      <c r="T44" s="49">
        <v>2</v>
      </c>
      <c r="U44" s="49">
        <v>1</v>
      </c>
      <c r="V44" s="50">
        <v>0</v>
      </c>
      <c r="W44" s="50">
        <v>0.012658</v>
      </c>
      <c r="X44" s="50">
        <v>0</v>
      </c>
      <c r="Y44" s="50">
        <v>0.013372</v>
      </c>
      <c r="Z44" s="50">
        <v>0</v>
      </c>
      <c r="AA44" s="50">
        <v>0</v>
      </c>
      <c r="AB44" s="73">
        <v>44</v>
      </c>
      <c r="AC44" s="73"/>
      <c r="AD44" s="74"/>
      <c r="AE44" s="81" t="s">
        <v>1055</v>
      </c>
      <c r="AF44" s="90" t="s">
        <v>1128</v>
      </c>
      <c r="AG44" s="81">
        <v>110</v>
      </c>
      <c r="AH44" s="81">
        <v>6180</v>
      </c>
      <c r="AI44" s="81">
        <v>351</v>
      </c>
      <c r="AJ44" s="81">
        <v>29618</v>
      </c>
      <c r="AK44" s="81"/>
      <c r="AL44" s="81" t="s">
        <v>1196</v>
      </c>
      <c r="AM44" s="81" t="s">
        <v>1262</v>
      </c>
      <c r="AN44" s="81"/>
      <c r="AO44" s="81"/>
      <c r="AP44" s="83">
        <v>42026.73364583333</v>
      </c>
      <c r="AQ44" s="86" t="str">
        <f>HYPERLINK("https://pbs.twimg.com/profile_banners/2992425426/1561882807")</f>
        <v>https://pbs.twimg.com/profile_banners/2992425426/1561882807</v>
      </c>
      <c r="AR44" s="81" t="b">
        <v>1</v>
      </c>
      <c r="AS44" s="81" t="b">
        <v>0</v>
      </c>
      <c r="AT44" s="81" t="b">
        <v>0</v>
      </c>
      <c r="AU44" s="81"/>
      <c r="AV44" s="81">
        <v>48</v>
      </c>
      <c r="AW44" s="86" t="str">
        <f>HYPERLINK("https://abs.twimg.com/images/themes/theme1/bg.png")</f>
        <v>https://abs.twimg.com/images/themes/theme1/bg.png</v>
      </c>
      <c r="AX44" s="81" t="b">
        <v>0</v>
      </c>
      <c r="AY44" s="81" t="s">
        <v>1294</v>
      </c>
      <c r="AZ44" s="86" t="str">
        <f>HYPERLINK("https://twitter.com/40000037sm")</f>
        <v>https://twitter.com/40000037sm</v>
      </c>
      <c r="BA44" s="81" t="s">
        <v>66</v>
      </c>
      <c r="BB44" s="81" t="str">
        <f>REPLACE(INDEX(GroupVertices[Group],MATCH(Vertices[[#This Row],[Vertex]],GroupVertices[Vertex],0)),1,1,"")</f>
        <v>16</v>
      </c>
      <c r="BC44" s="49"/>
      <c r="BD44" s="49"/>
      <c r="BE44" s="49"/>
      <c r="BF44" s="49"/>
      <c r="BG44" s="49"/>
      <c r="BH44" s="49"/>
      <c r="BI44" s="112" t="s">
        <v>1558</v>
      </c>
      <c r="BJ44" s="112" t="s">
        <v>1558</v>
      </c>
      <c r="BK44" s="112" t="s">
        <v>1629</v>
      </c>
      <c r="BL44" s="112" t="s">
        <v>1629</v>
      </c>
      <c r="BM44" s="112">
        <v>0</v>
      </c>
      <c r="BN44" s="115">
        <v>0</v>
      </c>
      <c r="BO44" s="112">
        <v>1</v>
      </c>
      <c r="BP44" s="115">
        <v>5.555555555555555</v>
      </c>
      <c r="BQ44" s="112">
        <v>0</v>
      </c>
      <c r="BR44" s="115">
        <v>0</v>
      </c>
      <c r="BS44" s="112">
        <v>17</v>
      </c>
      <c r="BT44" s="115">
        <v>94.44444444444444</v>
      </c>
      <c r="BU44" s="112">
        <v>18</v>
      </c>
      <c r="BV44" s="2"/>
      <c r="BW44" s="3"/>
      <c r="BX44" s="3"/>
      <c r="BY44" s="3"/>
      <c r="BZ44" s="3"/>
    </row>
    <row r="45" spans="1:78" ht="41.45" customHeight="1">
      <c r="A45" s="66" t="s">
        <v>284</v>
      </c>
      <c r="C45" s="67"/>
      <c r="D45" s="67" t="s">
        <v>64</v>
      </c>
      <c r="E45" s="68">
        <v>163.56962873873695</v>
      </c>
      <c r="F45" s="70">
        <v>99.99107651652254</v>
      </c>
      <c r="G45" s="105" t="str">
        <f>HYPERLINK("https://pbs.twimg.com/profile_images/378800000395432916/74cd9acb04b6a9ed520a39d4a730183f_normal.jpeg")</f>
        <v>https://pbs.twimg.com/profile_images/378800000395432916/74cd9acb04b6a9ed520a39d4a730183f_normal.jpeg</v>
      </c>
      <c r="H45" s="67"/>
      <c r="I45" s="71" t="s">
        <v>284</v>
      </c>
      <c r="J45" s="72"/>
      <c r="K45" s="72"/>
      <c r="L45" s="71" t="s">
        <v>1336</v>
      </c>
      <c r="M45" s="75">
        <v>3.973899593590121</v>
      </c>
      <c r="N45" s="76">
        <v>8320.9208984375</v>
      </c>
      <c r="O45" s="76">
        <v>6960.0341796875</v>
      </c>
      <c r="P45" s="77"/>
      <c r="Q45" s="78"/>
      <c r="R45" s="78"/>
      <c r="S45" s="91"/>
      <c r="T45" s="49">
        <v>0</v>
      </c>
      <c r="U45" s="49">
        <v>1</v>
      </c>
      <c r="V45" s="50">
        <v>0</v>
      </c>
      <c r="W45" s="50">
        <v>0.012658</v>
      </c>
      <c r="X45" s="50">
        <v>0</v>
      </c>
      <c r="Y45" s="50">
        <v>0.011628</v>
      </c>
      <c r="Z45" s="50">
        <v>0</v>
      </c>
      <c r="AA45" s="50">
        <v>0</v>
      </c>
      <c r="AB45" s="73">
        <v>45</v>
      </c>
      <c r="AC45" s="73"/>
      <c r="AD45" s="74"/>
      <c r="AE45" s="81" t="s">
        <v>1056</v>
      </c>
      <c r="AF45" s="90" t="s">
        <v>1129</v>
      </c>
      <c r="AG45" s="81">
        <v>1209</v>
      </c>
      <c r="AH45" s="81">
        <v>103</v>
      </c>
      <c r="AI45" s="81">
        <v>32098</v>
      </c>
      <c r="AJ45" s="81">
        <v>1072</v>
      </c>
      <c r="AK45" s="81"/>
      <c r="AL45" s="81" t="s">
        <v>1197</v>
      </c>
      <c r="AM45" s="81" t="s">
        <v>1263</v>
      </c>
      <c r="AN45" s="86" t="str">
        <f>HYPERLINK("https://t.co/1gHb0sE285")</f>
        <v>https://t.co/1gHb0sE285</v>
      </c>
      <c r="AO45" s="81"/>
      <c r="AP45" s="83">
        <v>40417.46792824074</v>
      </c>
      <c r="AQ45" s="81"/>
      <c r="AR45" s="81" t="b">
        <v>0</v>
      </c>
      <c r="AS45" s="81" t="b">
        <v>0</v>
      </c>
      <c r="AT45" s="81" t="b">
        <v>0</v>
      </c>
      <c r="AU45" s="81"/>
      <c r="AV45" s="81">
        <v>12</v>
      </c>
      <c r="AW45" s="86" t="str">
        <f>HYPERLINK("https://abs.twimg.com/images/themes/theme15/bg.png")</f>
        <v>https://abs.twimg.com/images/themes/theme15/bg.png</v>
      </c>
      <c r="AX45" s="81" t="b">
        <v>0</v>
      </c>
      <c r="AY45" s="81" t="s">
        <v>1294</v>
      </c>
      <c r="AZ45" s="86" t="str">
        <f>HYPERLINK("https://twitter.com/perovskite_")</f>
        <v>https://twitter.com/perovskite_</v>
      </c>
      <c r="BA45" s="81" t="s">
        <v>66</v>
      </c>
      <c r="BB45" s="81" t="str">
        <f>REPLACE(INDEX(GroupVertices[Group],MATCH(Vertices[[#This Row],[Vertex]],GroupVertices[Vertex],0)),1,1,"")</f>
        <v>16</v>
      </c>
      <c r="BC45" s="49"/>
      <c r="BD45" s="49"/>
      <c r="BE45" s="49"/>
      <c r="BF45" s="49"/>
      <c r="BG45" s="49"/>
      <c r="BH45" s="49"/>
      <c r="BI45" s="112" t="s">
        <v>1558</v>
      </c>
      <c r="BJ45" s="112" t="s">
        <v>1558</v>
      </c>
      <c r="BK45" s="112" t="s">
        <v>1629</v>
      </c>
      <c r="BL45" s="112" t="s">
        <v>1629</v>
      </c>
      <c r="BM45" s="112">
        <v>0</v>
      </c>
      <c r="BN45" s="115">
        <v>0</v>
      </c>
      <c r="BO45" s="112">
        <v>1</v>
      </c>
      <c r="BP45" s="115">
        <v>5.555555555555555</v>
      </c>
      <c r="BQ45" s="112">
        <v>0</v>
      </c>
      <c r="BR45" s="115">
        <v>0</v>
      </c>
      <c r="BS45" s="112">
        <v>17</v>
      </c>
      <c r="BT45" s="115">
        <v>94.44444444444444</v>
      </c>
      <c r="BU45" s="112">
        <v>18</v>
      </c>
      <c r="BV45" s="2"/>
      <c r="BW45" s="3"/>
      <c r="BX45" s="3"/>
      <c r="BY45" s="3"/>
      <c r="BZ45" s="3"/>
    </row>
    <row r="46" spans="1:78" ht="41.45" customHeight="1">
      <c r="A46" s="66" t="s">
        <v>285</v>
      </c>
      <c r="C46" s="67"/>
      <c r="D46" s="67" t="s">
        <v>64</v>
      </c>
      <c r="E46" s="68">
        <v>166.70888621621089</v>
      </c>
      <c r="F46" s="70">
        <v>99.9732295495676</v>
      </c>
      <c r="G46" s="105" t="str">
        <f>HYPERLINK("https://pbs.twimg.com/profile_images/1502912243121410051/q76wz1bP_normal.jpg")</f>
        <v>https://pbs.twimg.com/profile_images/1502912243121410051/q76wz1bP_normal.jpg</v>
      </c>
      <c r="H46" s="67"/>
      <c r="I46" s="71" t="s">
        <v>285</v>
      </c>
      <c r="J46" s="72"/>
      <c r="K46" s="72"/>
      <c r="L46" s="71" t="s">
        <v>1337</v>
      </c>
      <c r="M46" s="75">
        <v>9.921698780770363</v>
      </c>
      <c r="N46" s="76">
        <v>4139.08349609375</v>
      </c>
      <c r="O46" s="76">
        <v>1675.7174072265625</v>
      </c>
      <c r="P46" s="77"/>
      <c r="Q46" s="78"/>
      <c r="R46" s="78"/>
      <c r="S46" s="91"/>
      <c r="T46" s="49">
        <v>0</v>
      </c>
      <c r="U46" s="49">
        <v>4</v>
      </c>
      <c r="V46" s="50">
        <v>12</v>
      </c>
      <c r="W46" s="50">
        <v>0.050633</v>
      </c>
      <c r="X46" s="50">
        <v>0</v>
      </c>
      <c r="Y46" s="50">
        <v>0.017392</v>
      </c>
      <c r="Z46" s="50">
        <v>0</v>
      </c>
      <c r="AA46" s="50">
        <v>0</v>
      </c>
      <c r="AB46" s="73">
        <v>46</v>
      </c>
      <c r="AC46" s="73"/>
      <c r="AD46" s="74"/>
      <c r="AE46" s="81" t="s">
        <v>1057</v>
      </c>
      <c r="AF46" s="90" t="s">
        <v>1130</v>
      </c>
      <c r="AG46" s="81">
        <v>1620</v>
      </c>
      <c r="AH46" s="81">
        <v>293</v>
      </c>
      <c r="AI46" s="81">
        <v>1954</v>
      </c>
      <c r="AJ46" s="81">
        <v>3154</v>
      </c>
      <c r="AK46" s="81"/>
      <c r="AL46" s="81" t="s">
        <v>1198</v>
      </c>
      <c r="AM46" s="81" t="s">
        <v>1264</v>
      </c>
      <c r="AN46" s="86" t="str">
        <f>HYPERLINK("https://t.co/4HNGQn1VQo")</f>
        <v>https://t.co/4HNGQn1VQo</v>
      </c>
      <c r="AO46" s="81"/>
      <c r="AP46" s="83">
        <v>44037.7908912037</v>
      </c>
      <c r="AQ46" s="86" t="str">
        <f>HYPERLINK("https://pbs.twimg.com/profile_banners/1287099933632409603/1645394216")</f>
        <v>https://pbs.twimg.com/profile_banners/1287099933632409603/1645394216</v>
      </c>
      <c r="AR46" s="81" t="b">
        <v>1</v>
      </c>
      <c r="AS46" s="81" t="b">
        <v>0</v>
      </c>
      <c r="AT46" s="81" t="b">
        <v>0</v>
      </c>
      <c r="AU46" s="81"/>
      <c r="AV46" s="81">
        <v>18</v>
      </c>
      <c r="AW46" s="81"/>
      <c r="AX46" s="81" t="b">
        <v>0</v>
      </c>
      <c r="AY46" s="81" t="s">
        <v>1294</v>
      </c>
      <c r="AZ46" s="86" t="str">
        <f>HYPERLINK("https://twitter.com/myselle404")</f>
        <v>https://twitter.com/myselle404</v>
      </c>
      <c r="BA46" s="81" t="s">
        <v>66</v>
      </c>
      <c r="BB46" s="81" t="str">
        <f>REPLACE(INDEX(GroupVertices[Group],MATCH(Vertices[[#This Row],[Vertex]],GroupVertices[Vertex],0)),1,1,"")</f>
        <v>5</v>
      </c>
      <c r="BC46" s="49"/>
      <c r="BD46" s="49"/>
      <c r="BE46" s="49"/>
      <c r="BF46" s="49"/>
      <c r="BG46" s="49"/>
      <c r="BH46" s="49"/>
      <c r="BI46" s="112" t="s">
        <v>1721</v>
      </c>
      <c r="BJ46" s="112" t="s">
        <v>1721</v>
      </c>
      <c r="BK46" s="112" t="s">
        <v>1763</v>
      </c>
      <c r="BL46" s="112" t="s">
        <v>1763</v>
      </c>
      <c r="BM46" s="112">
        <v>1</v>
      </c>
      <c r="BN46" s="115">
        <v>2.857142857142857</v>
      </c>
      <c r="BO46" s="112">
        <v>0</v>
      </c>
      <c r="BP46" s="115">
        <v>0</v>
      </c>
      <c r="BQ46" s="112">
        <v>0</v>
      </c>
      <c r="BR46" s="115">
        <v>0</v>
      </c>
      <c r="BS46" s="112">
        <v>34</v>
      </c>
      <c r="BT46" s="115">
        <v>97.14285714285714</v>
      </c>
      <c r="BU46" s="112">
        <v>35</v>
      </c>
      <c r="BV46" s="2"/>
      <c r="BW46" s="3"/>
      <c r="BX46" s="3"/>
      <c r="BY46" s="3"/>
      <c r="BZ46" s="3"/>
    </row>
    <row r="47" spans="1:78" ht="41.45" customHeight="1">
      <c r="A47" s="66" t="s">
        <v>312</v>
      </c>
      <c r="C47" s="67"/>
      <c r="D47" s="67" t="s">
        <v>64</v>
      </c>
      <c r="E47" s="68">
        <v>162.09913444665708</v>
      </c>
      <c r="F47" s="70">
        <v>99.99943641156985</v>
      </c>
      <c r="G47" s="105" t="str">
        <f>HYPERLINK("https://pbs.twimg.com/profile_images/1227286115117338629/fA5pdT9W_normal.jpg")</f>
        <v>https://pbs.twimg.com/profile_images/1227286115117338629/fA5pdT9W_normal.jpg</v>
      </c>
      <c r="H47" s="67"/>
      <c r="I47" s="71" t="s">
        <v>312</v>
      </c>
      <c r="J47" s="72"/>
      <c r="K47" s="72"/>
      <c r="L47" s="71" t="s">
        <v>1338</v>
      </c>
      <c r="M47" s="75">
        <v>1.1878252374899023</v>
      </c>
      <c r="N47" s="76">
        <v>5044.92578125</v>
      </c>
      <c r="O47" s="76">
        <v>1609.9814453125</v>
      </c>
      <c r="P47" s="77"/>
      <c r="Q47" s="78"/>
      <c r="R47" s="78"/>
      <c r="S47" s="91"/>
      <c r="T47" s="49">
        <v>1</v>
      </c>
      <c r="U47" s="49">
        <v>0</v>
      </c>
      <c r="V47" s="50">
        <v>0</v>
      </c>
      <c r="W47" s="50">
        <v>0.028933</v>
      </c>
      <c r="X47" s="50">
        <v>0</v>
      </c>
      <c r="Y47" s="50">
        <v>0.011277</v>
      </c>
      <c r="Z47" s="50">
        <v>0</v>
      </c>
      <c r="AA47" s="50">
        <v>0</v>
      </c>
      <c r="AB47" s="73">
        <v>47</v>
      </c>
      <c r="AC47" s="73"/>
      <c r="AD47" s="74"/>
      <c r="AE47" s="81" t="s">
        <v>1058</v>
      </c>
      <c r="AF47" s="90" t="s">
        <v>1131</v>
      </c>
      <c r="AG47" s="81">
        <v>80</v>
      </c>
      <c r="AH47" s="81">
        <v>14</v>
      </c>
      <c r="AI47" s="81">
        <v>121</v>
      </c>
      <c r="AJ47" s="81">
        <v>13</v>
      </c>
      <c r="AK47" s="81"/>
      <c r="AL47" s="81" t="s">
        <v>1199</v>
      </c>
      <c r="AM47" s="81" t="s">
        <v>1265</v>
      </c>
      <c r="AN47" s="86" t="str">
        <f>HYPERLINK("https://t.co/jdoY0Ha2nh")</f>
        <v>https://t.co/jdoY0Ha2nh</v>
      </c>
      <c r="AO47" s="81"/>
      <c r="AP47" s="83">
        <v>43114.48484953704</v>
      </c>
      <c r="AQ47" s="86" t="str">
        <f>HYPERLINK("https://pbs.twimg.com/profile_banners/952505117793816576/1581442787")</f>
        <v>https://pbs.twimg.com/profile_banners/952505117793816576/1581442787</v>
      </c>
      <c r="AR47" s="81" t="b">
        <v>1</v>
      </c>
      <c r="AS47" s="81" t="b">
        <v>0</v>
      </c>
      <c r="AT47" s="81" t="b">
        <v>0</v>
      </c>
      <c r="AU47" s="81"/>
      <c r="AV47" s="81">
        <v>0</v>
      </c>
      <c r="AW47" s="81"/>
      <c r="AX47" s="81" t="b">
        <v>0</v>
      </c>
      <c r="AY47" s="81" t="s">
        <v>1294</v>
      </c>
      <c r="AZ47" s="86" t="str">
        <f>HYPERLINK("https://twitter.com/scharmienzandi")</f>
        <v>https://twitter.com/scharmienzandi</v>
      </c>
      <c r="BA47" s="81" t="s">
        <v>65</v>
      </c>
      <c r="BB47" s="81" t="str">
        <f>REPLACE(INDEX(GroupVertices[Group],MATCH(Vertices[[#This Row],[Vertex]],GroupVertices[Vertex],0)),1,1,"")</f>
        <v>5</v>
      </c>
      <c r="BC47" s="49"/>
      <c r="BD47" s="49"/>
      <c r="BE47" s="49"/>
      <c r="BF47" s="49"/>
      <c r="BG47" s="49"/>
      <c r="BH47" s="49"/>
      <c r="BI47" s="49"/>
      <c r="BJ47" s="49"/>
      <c r="BK47" s="49"/>
      <c r="BL47" s="49"/>
      <c r="BM47" s="49"/>
      <c r="BN47" s="50"/>
      <c r="BO47" s="49"/>
      <c r="BP47" s="50"/>
      <c r="BQ47" s="49"/>
      <c r="BR47" s="50"/>
      <c r="BS47" s="49"/>
      <c r="BT47" s="50"/>
      <c r="BU47" s="49"/>
      <c r="BV47" s="2"/>
      <c r="BW47" s="3"/>
      <c r="BX47" s="3"/>
      <c r="BY47" s="3"/>
      <c r="BZ47" s="3"/>
    </row>
    <row r="48" spans="1:78" ht="41.45" customHeight="1">
      <c r="A48" s="66" t="s">
        <v>313</v>
      </c>
      <c r="C48" s="67"/>
      <c r="D48" s="67" t="s">
        <v>64</v>
      </c>
      <c r="E48" s="68">
        <v>1000</v>
      </c>
      <c r="F48" s="70">
        <v>70</v>
      </c>
      <c r="G48" s="105" t="str">
        <f>HYPERLINK("https://pbs.twimg.com/profile_images/1495039475839234052/gN6McV0d_normal.png")</f>
        <v>https://pbs.twimg.com/profile_images/1495039475839234052/gN6McV0d_normal.png</v>
      </c>
      <c r="H48" s="67"/>
      <c r="I48" s="71" t="s">
        <v>313</v>
      </c>
      <c r="J48" s="72"/>
      <c r="K48" s="72"/>
      <c r="L48" s="71" t="s">
        <v>1339</v>
      </c>
      <c r="M48" s="75">
        <v>9999</v>
      </c>
      <c r="N48" s="76">
        <v>3233.24169921875</v>
      </c>
      <c r="O48" s="76">
        <v>1741.4532470703125</v>
      </c>
      <c r="P48" s="77"/>
      <c r="Q48" s="78"/>
      <c r="R48" s="78"/>
      <c r="S48" s="91"/>
      <c r="T48" s="49">
        <v>1</v>
      </c>
      <c r="U48" s="49">
        <v>0</v>
      </c>
      <c r="V48" s="50">
        <v>0</v>
      </c>
      <c r="W48" s="50">
        <v>0.028933</v>
      </c>
      <c r="X48" s="50">
        <v>0</v>
      </c>
      <c r="Y48" s="50">
        <v>0.011277</v>
      </c>
      <c r="Z48" s="50">
        <v>0</v>
      </c>
      <c r="AA48" s="50">
        <v>0</v>
      </c>
      <c r="AB48" s="73">
        <v>48</v>
      </c>
      <c r="AC48" s="73"/>
      <c r="AD48" s="74"/>
      <c r="AE48" s="81" t="s">
        <v>1059</v>
      </c>
      <c r="AF48" s="90" t="s">
        <v>1132</v>
      </c>
      <c r="AG48" s="81">
        <v>3878</v>
      </c>
      <c r="AH48" s="81">
        <v>319390</v>
      </c>
      <c r="AI48" s="81">
        <v>19494</v>
      </c>
      <c r="AJ48" s="81">
        <v>20310</v>
      </c>
      <c r="AK48" s="81"/>
      <c r="AL48" s="81" t="s">
        <v>1200</v>
      </c>
      <c r="AM48" s="81" t="s">
        <v>1266</v>
      </c>
      <c r="AN48" s="86" t="str">
        <f>HYPERLINK("https://t.co/0Sigv0yEsc")</f>
        <v>https://t.co/0Sigv0yEsc</v>
      </c>
      <c r="AO48" s="81"/>
      <c r="AP48" s="83">
        <v>43192.93840277778</v>
      </c>
      <c r="AQ48" s="86" t="str">
        <f>HYPERLINK("https://pbs.twimg.com/profile_banners/980935731794403328/1611596145")</f>
        <v>https://pbs.twimg.com/profile_banners/980935731794403328/1611596145</v>
      </c>
      <c r="AR48" s="81" t="b">
        <v>0</v>
      </c>
      <c r="AS48" s="81" t="b">
        <v>0</v>
      </c>
      <c r="AT48" s="81" t="b">
        <v>1</v>
      </c>
      <c r="AU48" s="81"/>
      <c r="AV48" s="81">
        <v>3570</v>
      </c>
      <c r="AW48" s="86" t="str">
        <f>HYPERLINK("https://abs.twimg.com/images/themes/theme1/bg.png")</f>
        <v>https://abs.twimg.com/images/themes/theme1/bg.png</v>
      </c>
      <c r="AX48" s="81" t="b">
        <v>1</v>
      </c>
      <c r="AY48" s="81" t="s">
        <v>1294</v>
      </c>
      <c r="AZ48" s="86" t="str">
        <f>HYPERLINK("https://twitter.com/superrare")</f>
        <v>https://twitter.com/superrare</v>
      </c>
      <c r="BA48" s="81" t="s">
        <v>65</v>
      </c>
      <c r="BB48" s="81" t="str">
        <f>REPLACE(INDEX(GroupVertices[Group],MATCH(Vertices[[#This Row],[Vertex]],GroupVertices[Vertex],0)),1,1,"")</f>
        <v>5</v>
      </c>
      <c r="BC48" s="49"/>
      <c r="BD48" s="49"/>
      <c r="BE48" s="49"/>
      <c r="BF48" s="49"/>
      <c r="BG48" s="49"/>
      <c r="BH48" s="49"/>
      <c r="BI48" s="49"/>
      <c r="BJ48" s="49"/>
      <c r="BK48" s="49"/>
      <c r="BL48" s="49"/>
      <c r="BM48" s="49"/>
      <c r="BN48" s="50"/>
      <c r="BO48" s="49"/>
      <c r="BP48" s="50"/>
      <c r="BQ48" s="49"/>
      <c r="BR48" s="50"/>
      <c r="BS48" s="49"/>
      <c r="BT48" s="50"/>
      <c r="BU48" s="49"/>
      <c r="BV48" s="2"/>
      <c r="BW48" s="3"/>
      <c r="BX48" s="3"/>
      <c r="BY48" s="3"/>
      <c r="BZ48" s="3"/>
    </row>
    <row r="49" spans="1:78" ht="41.45" customHeight="1">
      <c r="A49" s="66" t="s">
        <v>314</v>
      </c>
      <c r="C49" s="67"/>
      <c r="D49" s="67" t="s">
        <v>64</v>
      </c>
      <c r="E49" s="68">
        <v>592.193931268361</v>
      </c>
      <c r="F49" s="70">
        <v>97.55430800733917</v>
      </c>
      <c r="G49" s="105" t="str">
        <f>HYPERLINK("https://pbs.twimg.com/profile_images/1537055447013900291/_4gzbj0N_normal.jpg")</f>
        <v>https://pbs.twimg.com/profile_images/1537055447013900291/_4gzbj0N_normal.jpg</v>
      </c>
      <c r="H49" s="67"/>
      <c r="I49" s="71" t="s">
        <v>314</v>
      </c>
      <c r="J49" s="72"/>
      <c r="K49" s="72"/>
      <c r="L49" s="71" t="s">
        <v>1340</v>
      </c>
      <c r="M49" s="75">
        <v>816.0676180874314</v>
      </c>
      <c r="N49" s="76">
        <v>4094.774658203125</v>
      </c>
      <c r="O49" s="76">
        <v>331.8252258300781</v>
      </c>
      <c r="P49" s="77"/>
      <c r="Q49" s="78"/>
      <c r="R49" s="78"/>
      <c r="S49" s="91"/>
      <c r="T49" s="49">
        <v>1</v>
      </c>
      <c r="U49" s="49">
        <v>0</v>
      </c>
      <c r="V49" s="50">
        <v>0</v>
      </c>
      <c r="W49" s="50">
        <v>0.028933</v>
      </c>
      <c r="X49" s="50">
        <v>0</v>
      </c>
      <c r="Y49" s="50">
        <v>0.011277</v>
      </c>
      <c r="Z49" s="50">
        <v>0</v>
      </c>
      <c r="AA49" s="50">
        <v>0</v>
      </c>
      <c r="AB49" s="73">
        <v>49</v>
      </c>
      <c r="AC49" s="73"/>
      <c r="AD49" s="74"/>
      <c r="AE49" s="81" t="s">
        <v>1060</v>
      </c>
      <c r="AF49" s="90" t="s">
        <v>1133</v>
      </c>
      <c r="AG49" s="81">
        <v>4254</v>
      </c>
      <c r="AH49" s="81">
        <v>26045</v>
      </c>
      <c r="AI49" s="81">
        <v>5285</v>
      </c>
      <c r="AJ49" s="81">
        <v>27624</v>
      </c>
      <c r="AK49" s="81"/>
      <c r="AL49" s="81" t="s">
        <v>1201</v>
      </c>
      <c r="AM49" s="81" t="s">
        <v>1267</v>
      </c>
      <c r="AN49" s="86" t="str">
        <f>HYPERLINK("https://t.co/krFSAy68aU")</f>
        <v>https://t.co/krFSAy68aU</v>
      </c>
      <c r="AO49" s="81"/>
      <c r="AP49" s="83">
        <v>44220.78895833333</v>
      </c>
      <c r="AQ49" s="86" t="str">
        <f>HYPERLINK("https://pbs.twimg.com/profile_banners/1353416238152691712/1648601271")</f>
        <v>https://pbs.twimg.com/profile_banners/1353416238152691712/1648601271</v>
      </c>
      <c r="AR49" s="81" t="b">
        <v>1</v>
      </c>
      <c r="AS49" s="81" t="b">
        <v>0</v>
      </c>
      <c r="AT49" s="81" t="b">
        <v>0</v>
      </c>
      <c r="AU49" s="81"/>
      <c r="AV49" s="81">
        <v>252</v>
      </c>
      <c r="AW49" s="81"/>
      <c r="AX49" s="81" t="b">
        <v>0</v>
      </c>
      <c r="AY49" s="81" t="s">
        <v>1294</v>
      </c>
      <c r="AZ49" s="86" t="str">
        <f>HYPERLINK("https://twitter.com/nftculture")</f>
        <v>https://twitter.com/nftculture</v>
      </c>
      <c r="BA49" s="81" t="s">
        <v>65</v>
      </c>
      <c r="BB49" s="81" t="str">
        <f>REPLACE(INDEX(GroupVertices[Group],MATCH(Vertices[[#This Row],[Vertex]],GroupVertices[Vertex],0)),1,1,"")</f>
        <v>5</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315</v>
      </c>
      <c r="C50" s="67"/>
      <c r="D50" s="67" t="s">
        <v>64</v>
      </c>
      <c r="E50" s="68">
        <v>1000</v>
      </c>
      <c r="F50" s="70">
        <v>93.01469713383973</v>
      </c>
      <c r="G50" s="105" t="str">
        <f>HYPERLINK("https://pbs.twimg.com/profile_images/1503294179010654209/jp0TsfGW_normal.jpg")</f>
        <v>https://pbs.twimg.com/profile_images/1503294179010654209/jp0TsfGW_normal.jpg</v>
      </c>
      <c r="H50" s="67"/>
      <c r="I50" s="71" t="s">
        <v>315</v>
      </c>
      <c r="J50" s="72"/>
      <c r="K50" s="72"/>
      <c r="L50" s="71" t="s">
        <v>1341</v>
      </c>
      <c r="M50" s="75">
        <v>2328.9686018623465</v>
      </c>
      <c r="N50" s="76">
        <v>4183.392578125</v>
      </c>
      <c r="O50" s="76">
        <v>3019.609619140625</v>
      </c>
      <c r="P50" s="77"/>
      <c r="Q50" s="78"/>
      <c r="R50" s="78"/>
      <c r="S50" s="91"/>
      <c r="T50" s="49">
        <v>1</v>
      </c>
      <c r="U50" s="49">
        <v>0</v>
      </c>
      <c r="V50" s="50">
        <v>0</v>
      </c>
      <c r="W50" s="50">
        <v>0.028933</v>
      </c>
      <c r="X50" s="50">
        <v>0</v>
      </c>
      <c r="Y50" s="50">
        <v>0.011277</v>
      </c>
      <c r="Z50" s="50">
        <v>0</v>
      </c>
      <c r="AA50" s="50">
        <v>0</v>
      </c>
      <c r="AB50" s="73">
        <v>50</v>
      </c>
      <c r="AC50" s="73"/>
      <c r="AD50" s="74"/>
      <c r="AE50" s="81" t="s">
        <v>1061</v>
      </c>
      <c r="AF50" s="90" t="s">
        <v>963</v>
      </c>
      <c r="AG50" s="81">
        <v>1937</v>
      </c>
      <c r="AH50" s="81">
        <v>74374</v>
      </c>
      <c r="AI50" s="81">
        <v>38953</v>
      </c>
      <c r="AJ50" s="81">
        <v>113057</v>
      </c>
      <c r="AK50" s="81"/>
      <c r="AL50" s="81" t="s">
        <v>1202</v>
      </c>
      <c r="AM50" s="81" t="s">
        <v>989</v>
      </c>
      <c r="AN50" s="86" t="str">
        <f>HYPERLINK("https://t.co/DJhK4DHoH4")</f>
        <v>https://t.co/DJhK4DHoH4</v>
      </c>
      <c r="AO50" s="81"/>
      <c r="AP50" s="83">
        <v>40330.695289351854</v>
      </c>
      <c r="AQ50" s="86" t="str">
        <f>HYPERLINK("https://pbs.twimg.com/profile_banners/150713367/1652186578")</f>
        <v>https://pbs.twimg.com/profile_banners/150713367/1652186578</v>
      </c>
      <c r="AR50" s="81" t="b">
        <v>0</v>
      </c>
      <c r="AS50" s="81" t="b">
        <v>0</v>
      </c>
      <c r="AT50" s="81" t="b">
        <v>1</v>
      </c>
      <c r="AU50" s="81"/>
      <c r="AV50" s="81">
        <v>1089</v>
      </c>
      <c r="AW50" s="86" t="str">
        <f>HYPERLINK("https://abs.twimg.com/images/themes/theme9/bg.gif")</f>
        <v>https://abs.twimg.com/images/themes/theme9/bg.gif</v>
      </c>
      <c r="AX50" s="81" t="b">
        <v>0</v>
      </c>
      <c r="AY50" s="81" t="s">
        <v>1294</v>
      </c>
      <c r="AZ50" s="86" t="str">
        <f>HYPERLINK("https://twitter.com/trevorjonesart")</f>
        <v>https://twitter.com/trevorjonesart</v>
      </c>
      <c r="BA50" s="81" t="s">
        <v>65</v>
      </c>
      <c r="BB50" s="81" t="str">
        <f>REPLACE(INDEX(GroupVertices[Group],MATCH(Vertices[[#This Row],[Vertex]],GroupVertices[Vertex],0)),1,1,"")</f>
        <v>5</v>
      </c>
      <c r="BC50" s="49"/>
      <c r="BD50" s="49"/>
      <c r="BE50" s="49"/>
      <c r="BF50" s="49"/>
      <c r="BG50" s="49"/>
      <c r="BH50" s="49"/>
      <c r="BI50" s="49"/>
      <c r="BJ50" s="49"/>
      <c r="BK50" s="49"/>
      <c r="BL50" s="49"/>
      <c r="BM50" s="49"/>
      <c r="BN50" s="50"/>
      <c r="BO50" s="49"/>
      <c r="BP50" s="50"/>
      <c r="BQ50" s="49"/>
      <c r="BR50" s="50"/>
      <c r="BS50" s="49"/>
      <c r="BT50" s="50"/>
      <c r="BU50" s="49"/>
      <c r="BV50" s="2"/>
      <c r="BW50" s="3"/>
      <c r="BX50" s="3"/>
      <c r="BY50" s="3"/>
      <c r="BZ50" s="3"/>
    </row>
    <row r="51" spans="1:78" ht="41.45" customHeight="1">
      <c r="A51" s="66" t="s">
        <v>286</v>
      </c>
      <c r="C51" s="67"/>
      <c r="D51" s="67" t="s">
        <v>64</v>
      </c>
      <c r="E51" s="68">
        <v>631.0050671346044</v>
      </c>
      <c r="F51" s="70">
        <v>97.3336631369332</v>
      </c>
      <c r="G51" s="105" t="str">
        <f>HYPERLINK("https://pbs.twimg.com/profile_images/1532136271568674818/yDRAQipo_normal.jpg")</f>
        <v>https://pbs.twimg.com/profile_images/1532136271568674818/yDRAQipo_normal.jpg</v>
      </c>
      <c r="H51" s="67"/>
      <c r="I51" s="71" t="s">
        <v>286</v>
      </c>
      <c r="J51" s="72"/>
      <c r="K51" s="72"/>
      <c r="L51" s="71" t="s">
        <v>1342</v>
      </c>
      <c r="M51" s="75">
        <v>889.6011985647282</v>
      </c>
      <c r="N51" s="76">
        <v>1980.694580078125</v>
      </c>
      <c r="O51" s="76">
        <v>1023.1277465820312</v>
      </c>
      <c r="P51" s="77"/>
      <c r="Q51" s="78"/>
      <c r="R51" s="78"/>
      <c r="S51" s="91"/>
      <c r="T51" s="49">
        <v>1</v>
      </c>
      <c r="U51" s="49">
        <v>1</v>
      </c>
      <c r="V51" s="50">
        <v>0</v>
      </c>
      <c r="W51" s="50">
        <v>0</v>
      </c>
      <c r="X51" s="50">
        <v>0</v>
      </c>
      <c r="Y51" s="50">
        <v>0.0125</v>
      </c>
      <c r="Z51" s="50">
        <v>0</v>
      </c>
      <c r="AA51" s="50">
        <v>0</v>
      </c>
      <c r="AB51" s="73">
        <v>51</v>
      </c>
      <c r="AC51" s="73"/>
      <c r="AD51" s="74"/>
      <c r="AE51" s="81" t="s">
        <v>1062</v>
      </c>
      <c r="AF51" s="90" t="s">
        <v>1134</v>
      </c>
      <c r="AG51" s="81">
        <v>1745</v>
      </c>
      <c r="AH51" s="81">
        <v>28394</v>
      </c>
      <c r="AI51" s="81">
        <v>18806</v>
      </c>
      <c r="AJ51" s="81">
        <v>23507</v>
      </c>
      <c r="AK51" s="81"/>
      <c r="AL51" s="81" t="s">
        <v>1203</v>
      </c>
      <c r="AM51" s="81"/>
      <c r="AN51" s="81"/>
      <c r="AO51" s="81"/>
      <c r="AP51" s="83">
        <v>43167.56619212963</v>
      </c>
      <c r="AQ51" s="86" t="str">
        <f>HYPERLINK("https://pbs.twimg.com/profile_banners/971741153530757120/1638866233")</f>
        <v>https://pbs.twimg.com/profile_banners/971741153530757120/1638866233</v>
      </c>
      <c r="AR51" s="81" t="b">
        <v>1</v>
      </c>
      <c r="AS51" s="81" t="b">
        <v>0</v>
      </c>
      <c r="AT51" s="81" t="b">
        <v>0</v>
      </c>
      <c r="AU51" s="81"/>
      <c r="AV51" s="81">
        <v>610</v>
      </c>
      <c r="AW51" s="81"/>
      <c r="AX51" s="81" t="b">
        <v>0</v>
      </c>
      <c r="AY51" s="81" t="s">
        <v>1294</v>
      </c>
      <c r="AZ51" s="86" t="str">
        <f>HYPERLINK("https://twitter.com/billybobbaghold")</f>
        <v>https://twitter.com/billybobbaghold</v>
      </c>
      <c r="BA51" s="81" t="s">
        <v>66</v>
      </c>
      <c r="BB51" s="81" t="str">
        <f>REPLACE(INDEX(GroupVertices[Group],MATCH(Vertices[[#This Row],[Vertex]],GroupVertices[Vertex],0)),1,1,"")</f>
        <v>2</v>
      </c>
      <c r="BC51" s="49"/>
      <c r="BD51" s="49"/>
      <c r="BE51" s="49"/>
      <c r="BF51" s="49"/>
      <c r="BG51" s="49"/>
      <c r="BH51" s="49"/>
      <c r="BI51" s="112" t="s">
        <v>1722</v>
      </c>
      <c r="BJ51" s="112" t="s">
        <v>1722</v>
      </c>
      <c r="BK51" s="112" t="s">
        <v>1764</v>
      </c>
      <c r="BL51" s="112" t="s">
        <v>1764</v>
      </c>
      <c r="BM51" s="112">
        <v>0</v>
      </c>
      <c r="BN51" s="115">
        <v>0</v>
      </c>
      <c r="BO51" s="112">
        <v>0</v>
      </c>
      <c r="BP51" s="115">
        <v>0</v>
      </c>
      <c r="BQ51" s="112">
        <v>0</v>
      </c>
      <c r="BR51" s="115">
        <v>0</v>
      </c>
      <c r="BS51" s="112">
        <v>9</v>
      </c>
      <c r="BT51" s="115">
        <v>100</v>
      </c>
      <c r="BU51" s="112">
        <v>9</v>
      </c>
      <c r="BV51" s="2"/>
      <c r="BW51" s="3"/>
      <c r="BX51" s="3"/>
      <c r="BY51" s="3"/>
      <c r="BZ51" s="3"/>
    </row>
    <row r="52" spans="1:78" ht="41.45" customHeight="1">
      <c r="A52" s="66" t="s">
        <v>287</v>
      </c>
      <c r="C52" s="67"/>
      <c r="D52" s="67" t="s">
        <v>64</v>
      </c>
      <c r="E52" s="68">
        <v>184.45395216782666</v>
      </c>
      <c r="F52" s="70">
        <v>99.87234722056972</v>
      </c>
      <c r="G52" s="105" t="str">
        <f>HYPERLINK("https://pbs.twimg.com/profile_images/721901566/bighead_normal.jpg")</f>
        <v>https://pbs.twimg.com/profile_images/721901566/bighead_normal.jpg</v>
      </c>
      <c r="H52" s="67"/>
      <c r="I52" s="71" t="s">
        <v>287</v>
      </c>
      <c r="J52" s="72"/>
      <c r="K52" s="72"/>
      <c r="L52" s="71" t="s">
        <v>1343</v>
      </c>
      <c r="M52" s="75">
        <v>43.542416291462885</v>
      </c>
      <c r="N52" s="76">
        <v>6283.4443359375</v>
      </c>
      <c r="O52" s="76">
        <v>2314.48095703125</v>
      </c>
      <c r="P52" s="77"/>
      <c r="Q52" s="78"/>
      <c r="R52" s="78"/>
      <c r="S52" s="91"/>
      <c r="T52" s="49">
        <v>0</v>
      </c>
      <c r="U52" s="49">
        <v>3</v>
      </c>
      <c r="V52" s="50">
        <v>6</v>
      </c>
      <c r="W52" s="50">
        <v>0.037975</v>
      </c>
      <c r="X52" s="50">
        <v>0</v>
      </c>
      <c r="Y52" s="50">
        <v>0.014959</v>
      </c>
      <c r="Z52" s="50">
        <v>0</v>
      </c>
      <c r="AA52" s="50">
        <v>0</v>
      </c>
      <c r="AB52" s="73">
        <v>52</v>
      </c>
      <c r="AC52" s="73"/>
      <c r="AD52" s="74"/>
      <c r="AE52" s="81" t="s">
        <v>287</v>
      </c>
      <c r="AF52" s="90" t="s">
        <v>1135</v>
      </c>
      <c r="AG52" s="81">
        <v>1929</v>
      </c>
      <c r="AH52" s="81">
        <v>1367</v>
      </c>
      <c r="AI52" s="81">
        <v>15634</v>
      </c>
      <c r="AJ52" s="81">
        <v>6745</v>
      </c>
      <c r="AK52" s="81"/>
      <c r="AL52" s="81" t="s">
        <v>1204</v>
      </c>
      <c r="AM52" s="81" t="s">
        <v>1268</v>
      </c>
      <c r="AN52" s="86" t="str">
        <f>HYPERLINK("http://t.co/61v3DQmUxX")</f>
        <v>http://t.co/61v3DQmUxX</v>
      </c>
      <c r="AO52" s="81"/>
      <c r="AP52" s="83">
        <v>39966.595671296294</v>
      </c>
      <c r="AQ52" s="81"/>
      <c r="AR52" s="81" t="b">
        <v>0</v>
      </c>
      <c r="AS52" s="81" t="b">
        <v>0</v>
      </c>
      <c r="AT52" s="81" t="b">
        <v>0</v>
      </c>
      <c r="AU52" s="81"/>
      <c r="AV52" s="81">
        <v>43</v>
      </c>
      <c r="AW52" s="86" t="str">
        <f>HYPERLINK("https://abs.twimg.com/images/themes/theme1/bg.png")</f>
        <v>https://abs.twimg.com/images/themes/theme1/bg.png</v>
      </c>
      <c r="AX52" s="81" t="b">
        <v>0</v>
      </c>
      <c r="AY52" s="81" t="s">
        <v>1294</v>
      </c>
      <c r="AZ52" s="86" t="str">
        <f>HYPERLINK("https://twitter.com/mr_hopkinson")</f>
        <v>https://twitter.com/mr_hopkinson</v>
      </c>
      <c r="BA52" s="81" t="s">
        <v>66</v>
      </c>
      <c r="BB52" s="81" t="str">
        <f>REPLACE(INDEX(GroupVertices[Group],MATCH(Vertices[[#This Row],[Vertex]],GroupVertices[Vertex],0)),1,1,"")</f>
        <v>7</v>
      </c>
      <c r="BC52" s="49" t="s">
        <v>518</v>
      </c>
      <c r="BD52" s="49" t="s">
        <v>518</v>
      </c>
      <c r="BE52" s="49" t="s">
        <v>529</v>
      </c>
      <c r="BF52" s="49" t="s">
        <v>529</v>
      </c>
      <c r="BG52" s="49"/>
      <c r="BH52" s="49"/>
      <c r="BI52" s="112" t="s">
        <v>1723</v>
      </c>
      <c r="BJ52" s="112" t="s">
        <v>1741</v>
      </c>
      <c r="BK52" s="112" t="s">
        <v>1765</v>
      </c>
      <c r="BL52" s="112" t="s">
        <v>1781</v>
      </c>
      <c r="BM52" s="112">
        <v>0</v>
      </c>
      <c r="BN52" s="115">
        <v>0</v>
      </c>
      <c r="BO52" s="112">
        <v>0</v>
      </c>
      <c r="BP52" s="115">
        <v>0</v>
      </c>
      <c r="BQ52" s="112">
        <v>0</v>
      </c>
      <c r="BR52" s="115">
        <v>0</v>
      </c>
      <c r="BS52" s="112">
        <v>29</v>
      </c>
      <c r="BT52" s="115">
        <v>100</v>
      </c>
      <c r="BU52" s="112">
        <v>29</v>
      </c>
      <c r="BV52" s="2"/>
      <c r="BW52" s="3"/>
      <c r="BX52" s="3"/>
      <c r="BY52" s="3"/>
      <c r="BZ52" s="3"/>
    </row>
    <row r="53" spans="1:78" ht="41.45" customHeight="1">
      <c r="A53" s="66" t="s">
        <v>316</v>
      </c>
      <c r="C53" s="67"/>
      <c r="D53" s="67" t="s">
        <v>64</v>
      </c>
      <c r="E53" s="68">
        <v>186.4201186931919</v>
      </c>
      <c r="F53" s="70">
        <v>99.86116938337163</v>
      </c>
      <c r="G53" s="105" t="str">
        <f>HYPERLINK("https://pbs.twimg.com/profile_images/1506675152402141196/kdNhBmJN_normal.jpg")</f>
        <v>https://pbs.twimg.com/profile_images/1506675152402141196/kdNhBmJN_normal.jpg</v>
      </c>
      <c r="H53" s="67"/>
      <c r="I53" s="71" t="s">
        <v>316</v>
      </c>
      <c r="J53" s="72"/>
      <c r="K53" s="72"/>
      <c r="L53" s="71" t="s">
        <v>1344</v>
      </c>
      <c r="M53" s="75">
        <v>47.26761683501262</v>
      </c>
      <c r="N53" s="76">
        <v>5564.6494140625</v>
      </c>
      <c r="O53" s="76">
        <v>992.71044921875</v>
      </c>
      <c r="P53" s="77"/>
      <c r="Q53" s="78"/>
      <c r="R53" s="78"/>
      <c r="S53" s="91"/>
      <c r="T53" s="49">
        <v>1</v>
      </c>
      <c r="U53" s="49">
        <v>0</v>
      </c>
      <c r="V53" s="50">
        <v>0</v>
      </c>
      <c r="W53" s="50">
        <v>0.022785</v>
      </c>
      <c r="X53" s="50">
        <v>0</v>
      </c>
      <c r="Y53" s="50">
        <v>0.011373</v>
      </c>
      <c r="Z53" s="50">
        <v>0</v>
      </c>
      <c r="AA53" s="50">
        <v>0</v>
      </c>
      <c r="AB53" s="73">
        <v>53</v>
      </c>
      <c r="AC53" s="73"/>
      <c r="AD53" s="74"/>
      <c r="AE53" s="81" t="s">
        <v>1063</v>
      </c>
      <c r="AF53" s="90" t="s">
        <v>1136</v>
      </c>
      <c r="AG53" s="81">
        <v>722</v>
      </c>
      <c r="AH53" s="81">
        <v>1486</v>
      </c>
      <c r="AI53" s="81">
        <v>44790</v>
      </c>
      <c r="AJ53" s="81">
        <v>9000</v>
      </c>
      <c r="AK53" s="81"/>
      <c r="AL53" s="81" t="s">
        <v>1205</v>
      </c>
      <c r="AM53" s="81" t="s">
        <v>1269</v>
      </c>
      <c r="AN53" s="86" t="str">
        <f>HYPERLINK("https://t.co/H0AaGeIKA2")</f>
        <v>https://t.co/H0AaGeIKA2</v>
      </c>
      <c r="AO53" s="81"/>
      <c r="AP53" s="83">
        <v>39833.53034722222</v>
      </c>
      <c r="AQ53" s="86" t="str">
        <f>HYPERLINK("https://pbs.twimg.com/profile_banners/19234236/1590959320")</f>
        <v>https://pbs.twimg.com/profile_banners/19234236/1590959320</v>
      </c>
      <c r="AR53" s="81" t="b">
        <v>0</v>
      </c>
      <c r="AS53" s="81" t="b">
        <v>0</v>
      </c>
      <c r="AT53" s="81" t="b">
        <v>1</v>
      </c>
      <c r="AU53" s="81"/>
      <c r="AV53" s="81">
        <v>46</v>
      </c>
      <c r="AW53" s="86" t="str">
        <f>HYPERLINK("https://abs.twimg.com/images/themes/theme10/bg.gif")</f>
        <v>https://abs.twimg.com/images/themes/theme10/bg.gif</v>
      </c>
      <c r="AX53" s="81" t="b">
        <v>0</v>
      </c>
      <c r="AY53" s="81" t="s">
        <v>1294</v>
      </c>
      <c r="AZ53" s="86" t="str">
        <f>HYPERLINK("https://twitter.com/jimmccauley")</f>
        <v>https://twitter.com/jimmccauley</v>
      </c>
      <c r="BA53" s="81" t="s">
        <v>65</v>
      </c>
      <c r="BB53" s="81" t="str">
        <f>REPLACE(INDEX(GroupVertices[Group],MATCH(Vertices[[#This Row],[Vertex]],GroupVertices[Vertex],0)),1,1,"")</f>
        <v>7</v>
      </c>
      <c r="BC53" s="49"/>
      <c r="BD53" s="49"/>
      <c r="BE53" s="49"/>
      <c r="BF53" s="49"/>
      <c r="BG53" s="49"/>
      <c r="BH53" s="49"/>
      <c r="BI53" s="49"/>
      <c r="BJ53" s="49"/>
      <c r="BK53" s="49"/>
      <c r="BL53" s="49"/>
      <c r="BM53" s="49"/>
      <c r="BN53" s="50"/>
      <c r="BO53" s="49"/>
      <c r="BP53" s="50"/>
      <c r="BQ53" s="49"/>
      <c r="BR53" s="50"/>
      <c r="BS53" s="49"/>
      <c r="BT53" s="50"/>
      <c r="BU53" s="49"/>
      <c r="BV53" s="2"/>
      <c r="BW53" s="3"/>
      <c r="BX53" s="3"/>
      <c r="BY53" s="3"/>
      <c r="BZ53" s="3"/>
    </row>
    <row r="54" spans="1:78" ht="41.45" customHeight="1">
      <c r="A54" s="66" t="s">
        <v>288</v>
      </c>
      <c r="C54" s="67"/>
      <c r="D54" s="67" t="s">
        <v>64</v>
      </c>
      <c r="E54" s="68">
        <v>181.67818766142867</v>
      </c>
      <c r="F54" s="70">
        <v>99.88812769661409</v>
      </c>
      <c r="G54" s="105" t="str">
        <f>HYPERLINK("https://pbs.twimg.com/profile_images/1307743069589123077/n7QOPxTW_normal.jpg")</f>
        <v>https://pbs.twimg.com/profile_images/1307743069589123077/n7QOPxTW_normal.jpg</v>
      </c>
      <c r="H54" s="67"/>
      <c r="I54" s="71" t="s">
        <v>288</v>
      </c>
      <c r="J54" s="72"/>
      <c r="K54" s="72"/>
      <c r="L54" s="71" t="s">
        <v>1345</v>
      </c>
      <c r="M54" s="75">
        <v>38.283309641745625</v>
      </c>
      <c r="N54" s="76">
        <v>5564.6494140625</v>
      </c>
      <c r="O54" s="76">
        <v>2314.48095703125</v>
      </c>
      <c r="P54" s="77"/>
      <c r="Q54" s="78"/>
      <c r="R54" s="78"/>
      <c r="S54" s="91"/>
      <c r="T54" s="49">
        <v>2</v>
      </c>
      <c r="U54" s="49">
        <v>1</v>
      </c>
      <c r="V54" s="50">
        <v>0</v>
      </c>
      <c r="W54" s="50">
        <v>0.022785</v>
      </c>
      <c r="X54" s="50">
        <v>0</v>
      </c>
      <c r="Y54" s="50">
        <v>0.012295</v>
      </c>
      <c r="Z54" s="50">
        <v>0</v>
      </c>
      <c r="AA54" s="50">
        <v>0</v>
      </c>
      <c r="AB54" s="73">
        <v>54</v>
      </c>
      <c r="AC54" s="73"/>
      <c r="AD54" s="74"/>
      <c r="AE54" s="81" t="s">
        <v>1064</v>
      </c>
      <c r="AF54" s="90" t="s">
        <v>964</v>
      </c>
      <c r="AG54" s="81">
        <v>2149</v>
      </c>
      <c r="AH54" s="81">
        <v>1199</v>
      </c>
      <c r="AI54" s="81">
        <v>12448</v>
      </c>
      <c r="AJ54" s="81">
        <v>13451</v>
      </c>
      <c r="AK54" s="81"/>
      <c r="AL54" s="81" t="s">
        <v>1206</v>
      </c>
      <c r="AM54" s="81" t="s">
        <v>1270</v>
      </c>
      <c r="AN54" s="86" t="str">
        <f>HYPERLINK("https://t.co/lwQ9Me1w6w")</f>
        <v>https://t.co/lwQ9Me1w6w</v>
      </c>
      <c r="AO54" s="81"/>
      <c r="AP54" s="83">
        <v>42971.61819444445</v>
      </c>
      <c r="AQ54" s="86" t="str">
        <f>HYPERLINK("https://pbs.twimg.com/profile_banners/900731976814145536/1638019652")</f>
        <v>https://pbs.twimg.com/profile_banners/900731976814145536/1638019652</v>
      </c>
      <c r="AR54" s="81" t="b">
        <v>1</v>
      </c>
      <c r="AS54" s="81" t="b">
        <v>0</v>
      </c>
      <c r="AT54" s="81" t="b">
        <v>1</v>
      </c>
      <c r="AU54" s="81"/>
      <c r="AV54" s="81">
        <v>10</v>
      </c>
      <c r="AW54" s="81"/>
      <c r="AX54" s="81" t="b">
        <v>0</v>
      </c>
      <c r="AY54" s="81" t="s">
        <v>1294</v>
      </c>
      <c r="AZ54" s="86" t="str">
        <f>HYPERLINK("https://twitter.com/reactionsto2023")</f>
        <v>https://twitter.com/reactionsto2023</v>
      </c>
      <c r="BA54" s="81" t="s">
        <v>66</v>
      </c>
      <c r="BB54" s="81" t="str">
        <f>REPLACE(INDEX(GroupVertices[Group],MATCH(Vertices[[#This Row],[Vertex]],GroupVertices[Vertex],0)),1,1,"")</f>
        <v>7</v>
      </c>
      <c r="BC54" s="49" t="s">
        <v>1414</v>
      </c>
      <c r="BD54" s="49" t="s">
        <v>1414</v>
      </c>
      <c r="BE54" s="49" t="s">
        <v>521</v>
      </c>
      <c r="BF54" s="49" t="s">
        <v>521</v>
      </c>
      <c r="BG54" s="49"/>
      <c r="BH54" s="49"/>
      <c r="BI54" s="112" t="s">
        <v>957</v>
      </c>
      <c r="BJ54" s="112" t="s">
        <v>957</v>
      </c>
      <c r="BK54" s="112" t="s">
        <v>957</v>
      </c>
      <c r="BL54" s="112" t="s">
        <v>957</v>
      </c>
      <c r="BM54" s="112">
        <v>0</v>
      </c>
      <c r="BN54" s="115">
        <v>0</v>
      </c>
      <c r="BO54" s="112">
        <v>0</v>
      </c>
      <c r="BP54" s="115">
        <v>0</v>
      </c>
      <c r="BQ54" s="112">
        <v>0</v>
      </c>
      <c r="BR54" s="115">
        <v>0</v>
      </c>
      <c r="BS54" s="112">
        <v>0</v>
      </c>
      <c r="BT54" s="115">
        <v>0</v>
      </c>
      <c r="BU54" s="112">
        <v>0</v>
      </c>
      <c r="BV54" s="2"/>
      <c r="BW54" s="3"/>
      <c r="BX54" s="3"/>
      <c r="BY54" s="3"/>
      <c r="BZ54" s="3"/>
    </row>
    <row r="55" spans="1:78" ht="41.45" customHeight="1">
      <c r="A55" s="66" t="s">
        <v>317</v>
      </c>
      <c r="C55" s="67"/>
      <c r="D55" s="67" t="s">
        <v>64</v>
      </c>
      <c r="E55" s="68">
        <v>320.7803387290759</v>
      </c>
      <c r="F55" s="70">
        <v>99.09731919770056</v>
      </c>
      <c r="G55" s="105" t="str">
        <f>HYPERLINK("https://pbs.twimg.com/profile_images/1230249209141571584/oF_92YAM_normal.jpg")</f>
        <v>https://pbs.twimg.com/profile_images/1230249209141571584/oF_92YAM_normal.jpg</v>
      </c>
      <c r="H55" s="67"/>
      <c r="I55" s="71" t="s">
        <v>317</v>
      </c>
      <c r="J55" s="72"/>
      <c r="K55" s="72"/>
      <c r="L55" s="71" t="s">
        <v>1346</v>
      </c>
      <c r="M55" s="75">
        <v>301.833422046327</v>
      </c>
      <c r="N55" s="76">
        <v>6283.4443359375</v>
      </c>
      <c r="O55" s="76">
        <v>992.71044921875</v>
      </c>
      <c r="P55" s="77"/>
      <c r="Q55" s="78"/>
      <c r="R55" s="78"/>
      <c r="S55" s="91"/>
      <c r="T55" s="49">
        <v>1</v>
      </c>
      <c r="U55" s="49">
        <v>0</v>
      </c>
      <c r="V55" s="50">
        <v>0</v>
      </c>
      <c r="W55" s="50">
        <v>0.022785</v>
      </c>
      <c r="X55" s="50">
        <v>0</v>
      </c>
      <c r="Y55" s="50">
        <v>0.011373</v>
      </c>
      <c r="Z55" s="50">
        <v>0</v>
      </c>
      <c r="AA55" s="50">
        <v>0</v>
      </c>
      <c r="AB55" s="73">
        <v>55</v>
      </c>
      <c r="AC55" s="73"/>
      <c r="AD55" s="74"/>
      <c r="AE55" s="81" t="s">
        <v>1065</v>
      </c>
      <c r="AF55" s="90" t="s">
        <v>965</v>
      </c>
      <c r="AG55" s="81">
        <v>4500</v>
      </c>
      <c r="AH55" s="81">
        <v>9618</v>
      </c>
      <c r="AI55" s="81">
        <v>43690</v>
      </c>
      <c r="AJ55" s="81">
        <v>76555</v>
      </c>
      <c r="AK55" s="81"/>
      <c r="AL55" s="81" t="s">
        <v>1207</v>
      </c>
      <c r="AM55" s="81" t="s">
        <v>1271</v>
      </c>
      <c r="AN55" s="86" t="str">
        <f>HYPERLINK("https://t.co/pAj9QKosMB")</f>
        <v>https://t.co/pAj9QKosMB</v>
      </c>
      <c r="AO55" s="81"/>
      <c r="AP55" s="83">
        <v>39857.00244212963</v>
      </c>
      <c r="AQ55" s="86" t="str">
        <f>HYPERLINK("https://pbs.twimg.com/profile_banners/20733762/1541000573")</f>
        <v>https://pbs.twimg.com/profile_banners/20733762/1541000573</v>
      </c>
      <c r="AR55" s="81" t="b">
        <v>0</v>
      </c>
      <c r="AS55" s="81" t="b">
        <v>0</v>
      </c>
      <c r="AT55" s="81" t="b">
        <v>0</v>
      </c>
      <c r="AU55" s="81"/>
      <c r="AV55" s="81">
        <v>84</v>
      </c>
      <c r="AW55" s="86" t="str">
        <f>HYPERLINK("https://abs.twimg.com/images/themes/theme1/bg.png")</f>
        <v>https://abs.twimg.com/images/themes/theme1/bg.png</v>
      </c>
      <c r="AX55" s="81" t="b">
        <v>0</v>
      </c>
      <c r="AY55" s="81" t="s">
        <v>1294</v>
      </c>
      <c r="AZ55" s="86" t="str">
        <f>HYPERLINK("https://twitter.com/bob_fischer")</f>
        <v>https://twitter.com/bob_fischer</v>
      </c>
      <c r="BA55" s="81" t="s">
        <v>65</v>
      </c>
      <c r="BB55" s="81" t="str">
        <f>REPLACE(INDEX(GroupVertices[Group],MATCH(Vertices[[#This Row],[Vertex]],GroupVertices[Vertex],0)),1,1,"")</f>
        <v>7</v>
      </c>
      <c r="BC55" s="49"/>
      <c r="BD55" s="49"/>
      <c r="BE55" s="49"/>
      <c r="BF55" s="49"/>
      <c r="BG55" s="49"/>
      <c r="BH55" s="49"/>
      <c r="BI55" s="49"/>
      <c r="BJ55" s="49"/>
      <c r="BK55" s="49"/>
      <c r="BL55" s="49"/>
      <c r="BM55" s="49"/>
      <c r="BN55" s="50"/>
      <c r="BO55" s="49"/>
      <c r="BP55" s="50"/>
      <c r="BQ55" s="49"/>
      <c r="BR55" s="50"/>
      <c r="BS55" s="49"/>
      <c r="BT55" s="50"/>
      <c r="BU55" s="49"/>
      <c r="BV55" s="2"/>
      <c r="BW55" s="3"/>
      <c r="BX55" s="3"/>
      <c r="BY55" s="3"/>
      <c r="BZ55" s="3"/>
    </row>
    <row r="56" spans="1:78" ht="41.45" customHeight="1">
      <c r="A56" s="66" t="s">
        <v>289</v>
      </c>
      <c r="C56" s="67"/>
      <c r="D56" s="67" t="s">
        <v>64</v>
      </c>
      <c r="E56" s="68">
        <v>181.92602377807134</v>
      </c>
      <c r="F56" s="70">
        <v>99.8867187255387</v>
      </c>
      <c r="G56" s="105" t="str">
        <f>HYPERLINK("https://pbs.twimg.com/profile_images/1487624100801564672/1PQL1gy1_normal.jpg")</f>
        <v>https://pbs.twimg.com/profile_images/1487624100801564672/1PQL1gy1_normal.jpg</v>
      </c>
      <c r="H56" s="67"/>
      <c r="I56" s="71" t="s">
        <v>289</v>
      </c>
      <c r="J56" s="72"/>
      <c r="K56" s="72"/>
      <c r="L56" s="71" t="s">
        <v>1347</v>
      </c>
      <c r="M56" s="75">
        <v>38.752872735470376</v>
      </c>
      <c r="N56" s="76">
        <v>2708.841796875</v>
      </c>
      <c r="O56" s="76">
        <v>2405.73291015625</v>
      </c>
      <c r="P56" s="77"/>
      <c r="Q56" s="78"/>
      <c r="R56" s="78"/>
      <c r="S56" s="91"/>
      <c r="T56" s="49">
        <v>1</v>
      </c>
      <c r="U56" s="49">
        <v>1</v>
      </c>
      <c r="V56" s="50">
        <v>0</v>
      </c>
      <c r="W56" s="50">
        <v>0</v>
      </c>
      <c r="X56" s="50">
        <v>0</v>
      </c>
      <c r="Y56" s="50">
        <v>0.0125</v>
      </c>
      <c r="Z56" s="50">
        <v>0</v>
      </c>
      <c r="AA56" s="50">
        <v>0</v>
      </c>
      <c r="AB56" s="73">
        <v>56</v>
      </c>
      <c r="AC56" s="73"/>
      <c r="AD56" s="74"/>
      <c r="AE56" s="81" t="s">
        <v>1066</v>
      </c>
      <c r="AF56" s="90" t="s">
        <v>1137</v>
      </c>
      <c r="AG56" s="81">
        <v>1135</v>
      </c>
      <c r="AH56" s="81">
        <v>1214</v>
      </c>
      <c r="AI56" s="81">
        <v>85290</v>
      </c>
      <c r="AJ56" s="81">
        <v>141516</v>
      </c>
      <c r="AK56" s="81"/>
      <c r="AL56" s="81" t="s">
        <v>1208</v>
      </c>
      <c r="AM56" s="81" t="s">
        <v>1272</v>
      </c>
      <c r="AN56" s="81"/>
      <c r="AO56" s="81"/>
      <c r="AP56" s="83">
        <v>41361.071226851855</v>
      </c>
      <c r="AQ56" s="86" t="str">
        <f>HYPERLINK("https://pbs.twimg.com/profile_banners/1309120033/1641819460")</f>
        <v>https://pbs.twimg.com/profile_banners/1309120033/1641819460</v>
      </c>
      <c r="AR56" s="81" t="b">
        <v>0</v>
      </c>
      <c r="AS56" s="81" t="b">
        <v>0</v>
      </c>
      <c r="AT56" s="81" t="b">
        <v>0</v>
      </c>
      <c r="AU56" s="81"/>
      <c r="AV56" s="81">
        <v>27</v>
      </c>
      <c r="AW56" s="86" t="str">
        <f>HYPERLINK("https://abs.twimg.com/images/themes/theme18/bg.gif")</f>
        <v>https://abs.twimg.com/images/themes/theme18/bg.gif</v>
      </c>
      <c r="AX56" s="81" t="b">
        <v>0</v>
      </c>
      <c r="AY56" s="81" t="s">
        <v>1294</v>
      </c>
      <c r="AZ56" s="86" t="str">
        <f>HYPERLINK("https://twitter.com/dawsepaws")</f>
        <v>https://twitter.com/dawsepaws</v>
      </c>
      <c r="BA56" s="81" t="s">
        <v>66</v>
      </c>
      <c r="BB56" s="81" t="str">
        <f>REPLACE(INDEX(GroupVertices[Group],MATCH(Vertices[[#This Row],[Vertex]],GroupVertices[Vertex],0)),1,1,"")</f>
        <v>2</v>
      </c>
      <c r="BC56" s="49"/>
      <c r="BD56" s="49"/>
      <c r="BE56" s="49"/>
      <c r="BF56" s="49"/>
      <c r="BG56" s="49" t="s">
        <v>538</v>
      </c>
      <c r="BH56" s="49" t="s">
        <v>538</v>
      </c>
      <c r="BI56" s="112" t="s">
        <v>1724</v>
      </c>
      <c r="BJ56" s="112" t="s">
        <v>1724</v>
      </c>
      <c r="BK56" s="112" t="s">
        <v>1766</v>
      </c>
      <c r="BL56" s="112" t="s">
        <v>1766</v>
      </c>
      <c r="BM56" s="112">
        <v>2</v>
      </c>
      <c r="BN56" s="115">
        <v>7.407407407407407</v>
      </c>
      <c r="BO56" s="112">
        <v>0</v>
      </c>
      <c r="BP56" s="115">
        <v>0</v>
      </c>
      <c r="BQ56" s="112">
        <v>0</v>
      </c>
      <c r="BR56" s="115">
        <v>0</v>
      </c>
      <c r="BS56" s="112">
        <v>25</v>
      </c>
      <c r="BT56" s="115">
        <v>92.5925925925926</v>
      </c>
      <c r="BU56" s="112">
        <v>27</v>
      </c>
      <c r="BV56" s="2"/>
      <c r="BW56" s="3"/>
      <c r="BX56" s="3"/>
      <c r="BY56" s="3"/>
      <c r="BZ56" s="3"/>
    </row>
    <row r="57" spans="1:78" ht="41.45" customHeight="1">
      <c r="A57" s="66" t="s">
        <v>290</v>
      </c>
      <c r="C57" s="67"/>
      <c r="D57" s="67" t="s">
        <v>64</v>
      </c>
      <c r="E57" s="68">
        <v>175.15183658983813</v>
      </c>
      <c r="F57" s="70">
        <v>99.92523060159934</v>
      </c>
      <c r="G57" s="105" t="str">
        <f>HYPERLINK("https://pbs.twimg.com/profile_images/1533467812316037122/XBR7K4CO_normal.jpg")</f>
        <v>https://pbs.twimg.com/profile_images/1533467812316037122/XBR7K4CO_normal.jpg</v>
      </c>
      <c r="H57" s="67"/>
      <c r="I57" s="71" t="s">
        <v>290</v>
      </c>
      <c r="J57" s="72"/>
      <c r="K57" s="72"/>
      <c r="L57" s="71" t="s">
        <v>1348</v>
      </c>
      <c r="M57" s="75">
        <v>25.91814817366038</v>
      </c>
      <c r="N57" s="76">
        <v>8777.8505859375</v>
      </c>
      <c r="O57" s="76">
        <v>1028.658203125</v>
      </c>
      <c r="P57" s="77"/>
      <c r="Q57" s="78"/>
      <c r="R57" s="78"/>
      <c r="S57" s="91"/>
      <c r="T57" s="49">
        <v>0</v>
      </c>
      <c r="U57" s="49">
        <v>1</v>
      </c>
      <c r="V57" s="50">
        <v>0</v>
      </c>
      <c r="W57" s="50">
        <v>0.012658</v>
      </c>
      <c r="X57" s="50">
        <v>0</v>
      </c>
      <c r="Y57" s="50">
        <v>0.0125</v>
      </c>
      <c r="Z57" s="50">
        <v>0</v>
      </c>
      <c r="AA57" s="50">
        <v>0</v>
      </c>
      <c r="AB57" s="73">
        <v>57</v>
      </c>
      <c r="AC57" s="73"/>
      <c r="AD57" s="74"/>
      <c r="AE57" s="81" t="s">
        <v>1067</v>
      </c>
      <c r="AF57" s="90" t="s">
        <v>1138</v>
      </c>
      <c r="AG57" s="81">
        <v>928</v>
      </c>
      <c r="AH57" s="81">
        <v>804</v>
      </c>
      <c r="AI57" s="81">
        <v>19171</v>
      </c>
      <c r="AJ57" s="81">
        <v>7908</v>
      </c>
      <c r="AK57" s="81"/>
      <c r="AL57" s="81" t="s">
        <v>1209</v>
      </c>
      <c r="AM57" s="81" t="s">
        <v>1273</v>
      </c>
      <c r="AN57" s="81"/>
      <c r="AO57" s="81"/>
      <c r="AP57" s="83">
        <v>40714.4909837963</v>
      </c>
      <c r="AQ57" s="86" t="str">
        <f>HYPERLINK("https://pbs.twimg.com/profile_banners/320710616/1653423660")</f>
        <v>https://pbs.twimg.com/profile_banners/320710616/1653423660</v>
      </c>
      <c r="AR57" s="81" t="b">
        <v>0</v>
      </c>
      <c r="AS57" s="81" t="b">
        <v>0</v>
      </c>
      <c r="AT57" s="81" t="b">
        <v>0</v>
      </c>
      <c r="AU57" s="81"/>
      <c r="AV57" s="81">
        <v>12</v>
      </c>
      <c r="AW57" s="86" t="str">
        <f>HYPERLINK("https://abs.twimg.com/images/themes/theme10/bg.gif")</f>
        <v>https://abs.twimg.com/images/themes/theme10/bg.gif</v>
      </c>
      <c r="AX57" s="81" t="b">
        <v>0</v>
      </c>
      <c r="AY57" s="81" t="s">
        <v>1294</v>
      </c>
      <c r="AZ57" s="86" t="str">
        <f>HYPERLINK("https://twitter.com/janeclifford23")</f>
        <v>https://twitter.com/janeclifford23</v>
      </c>
      <c r="BA57" s="81" t="s">
        <v>66</v>
      </c>
      <c r="BB57" s="81" t="str">
        <f>REPLACE(INDEX(GroupVertices[Group],MATCH(Vertices[[#This Row],[Vertex]],GroupVertices[Vertex],0)),1,1,"")</f>
        <v>15</v>
      </c>
      <c r="BC57" s="49" t="s">
        <v>1423</v>
      </c>
      <c r="BD57" s="49" t="s">
        <v>1423</v>
      </c>
      <c r="BE57" s="49" t="s">
        <v>523</v>
      </c>
      <c r="BF57" s="49" t="s">
        <v>523</v>
      </c>
      <c r="BG57" s="49"/>
      <c r="BH57" s="49"/>
      <c r="BI57" s="112" t="s">
        <v>1725</v>
      </c>
      <c r="BJ57" s="112" t="s">
        <v>1725</v>
      </c>
      <c r="BK57" s="112" t="s">
        <v>1767</v>
      </c>
      <c r="BL57" s="112" t="s">
        <v>1767</v>
      </c>
      <c r="BM57" s="112">
        <v>0</v>
      </c>
      <c r="BN57" s="115">
        <v>0</v>
      </c>
      <c r="BO57" s="112">
        <v>1</v>
      </c>
      <c r="BP57" s="115">
        <v>4.3478260869565215</v>
      </c>
      <c r="BQ57" s="112">
        <v>0</v>
      </c>
      <c r="BR57" s="115">
        <v>0</v>
      </c>
      <c r="BS57" s="112">
        <v>22</v>
      </c>
      <c r="BT57" s="115">
        <v>95.65217391304348</v>
      </c>
      <c r="BU57" s="112">
        <v>23</v>
      </c>
      <c r="BV57" s="2"/>
      <c r="BW57" s="3"/>
      <c r="BX57" s="3"/>
      <c r="BY57" s="3"/>
      <c r="BZ57" s="3"/>
    </row>
    <row r="58" spans="1:78" ht="41.45" customHeight="1">
      <c r="A58" s="66" t="s">
        <v>318</v>
      </c>
      <c r="C58" s="67"/>
      <c r="D58" s="67" t="s">
        <v>64</v>
      </c>
      <c r="E58" s="68">
        <v>174.11092489993888</v>
      </c>
      <c r="F58" s="70">
        <v>99.93114828011598</v>
      </c>
      <c r="G58" s="105" t="str">
        <f>HYPERLINK("https://pbs.twimg.com/profile_images/1333548316634845197/j8P34ucC_normal.jpg")</f>
        <v>https://pbs.twimg.com/profile_images/1333548316634845197/j8P34ucC_normal.jpg</v>
      </c>
      <c r="H58" s="67"/>
      <c r="I58" s="71" t="s">
        <v>318</v>
      </c>
      <c r="J58" s="72"/>
      <c r="K58" s="72"/>
      <c r="L58" s="71" t="s">
        <v>1349</v>
      </c>
      <c r="M58" s="75">
        <v>23.945983180016405</v>
      </c>
      <c r="N58" s="76">
        <v>8777.8505859375</v>
      </c>
      <c r="O58" s="76">
        <v>2422.32421875</v>
      </c>
      <c r="P58" s="77"/>
      <c r="Q58" s="78"/>
      <c r="R58" s="78"/>
      <c r="S58" s="91"/>
      <c r="T58" s="49">
        <v>1</v>
      </c>
      <c r="U58" s="49">
        <v>0</v>
      </c>
      <c r="V58" s="50">
        <v>0</v>
      </c>
      <c r="W58" s="50">
        <v>0.012658</v>
      </c>
      <c r="X58" s="50">
        <v>0</v>
      </c>
      <c r="Y58" s="50">
        <v>0.0125</v>
      </c>
      <c r="Z58" s="50">
        <v>0</v>
      </c>
      <c r="AA58" s="50">
        <v>0</v>
      </c>
      <c r="AB58" s="73">
        <v>58</v>
      </c>
      <c r="AC58" s="73"/>
      <c r="AD58" s="74"/>
      <c r="AE58" s="81" t="s">
        <v>1068</v>
      </c>
      <c r="AF58" s="90" t="s">
        <v>1139</v>
      </c>
      <c r="AG58" s="81">
        <v>830</v>
      </c>
      <c r="AH58" s="81">
        <v>741</v>
      </c>
      <c r="AI58" s="81">
        <v>4833</v>
      </c>
      <c r="AJ58" s="81">
        <v>5618</v>
      </c>
      <c r="AK58" s="81"/>
      <c r="AL58" s="81" t="s">
        <v>1210</v>
      </c>
      <c r="AM58" s="81" t="s">
        <v>1274</v>
      </c>
      <c r="AN58" s="86" t="str">
        <f>HYPERLINK("https://t.co/u5HeA9Iy3v")</f>
        <v>https://t.co/u5HeA9Iy3v</v>
      </c>
      <c r="AO58" s="81"/>
      <c r="AP58" s="83">
        <v>40217.596712962964</v>
      </c>
      <c r="AQ58" s="86" t="str">
        <f>HYPERLINK("https://pbs.twimg.com/profile_banners/112440652/1499634116")</f>
        <v>https://pbs.twimg.com/profile_banners/112440652/1499634116</v>
      </c>
      <c r="AR58" s="81" t="b">
        <v>0</v>
      </c>
      <c r="AS58" s="81" t="b">
        <v>0</v>
      </c>
      <c r="AT58" s="81" t="b">
        <v>1</v>
      </c>
      <c r="AU58" s="81"/>
      <c r="AV58" s="81">
        <v>26</v>
      </c>
      <c r="AW58" s="86" t="str">
        <f>HYPERLINK("https://abs.twimg.com/images/themes/theme1/bg.png")</f>
        <v>https://abs.twimg.com/images/themes/theme1/bg.png</v>
      </c>
      <c r="AX58" s="81" t="b">
        <v>0</v>
      </c>
      <c r="AY58" s="81" t="s">
        <v>1294</v>
      </c>
      <c r="AZ58" s="86" t="str">
        <f>HYPERLINK("https://twitter.com/airyfairynews")</f>
        <v>https://twitter.com/airyfairynews</v>
      </c>
      <c r="BA58" s="81" t="s">
        <v>65</v>
      </c>
      <c r="BB58" s="81" t="str">
        <f>REPLACE(INDEX(GroupVertices[Group],MATCH(Vertices[[#This Row],[Vertex]],GroupVertices[Vertex],0)),1,1,"")</f>
        <v>15</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41.45" customHeight="1">
      <c r="A59" s="66" t="s">
        <v>292</v>
      </c>
      <c r="C59" s="67"/>
      <c r="D59" s="67" t="s">
        <v>64</v>
      </c>
      <c r="E59" s="68">
        <v>171.30211557798853</v>
      </c>
      <c r="F59" s="70">
        <v>99.94711661897038</v>
      </c>
      <c r="G59" s="105" t="str">
        <f>HYPERLINK("https://pbs.twimg.com/profile_images/378800000668567260/de8f8f997e027c4009f41eb7b92f5d34_normal.jpeg")</f>
        <v>https://pbs.twimg.com/profile_images/378800000668567260/de8f8f997e027c4009f41eb7b92f5d34_normal.jpeg</v>
      </c>
      <c r="H59" s="67"/>
      <c r="I59" s="71" t="s">
        <v>292</v>
      </c>
      <c r="J59" s="72"/>
      <c r="K59" s="72"/>
      <c r="L59" s="71" t="s">
        <v>1350</v>
      </c>
      <c r="M59" s="75">
        <v>18.624268117802504</v>
      </c>
      <c r="N59" s="76">
        <v>9539.3994140625</v>
      </c>
      <c r="O59" s="76">
        <v>2422.32421875</v>
      </c>
      <c r="P59" s="77"/>
      <c r="Q59" s="78"/>
      <c r="R59" s="78"/>
      <c r="S59" s="91"/>
      <c r="T59" s="49">
        <v>0</v>
      </c>
      <c r="U59" s="49">
        <v>1</v>
      </c>
      <c r="V59" s="50">
        <v>0</v>
      </c>
      <c r="W59" s="50">
        <v>0.012658</v>
      </c>
      <c r="X59" s="50">
        <v>0</v>
      </c>
      <c r="Y59" s="50">
        <v>0.0125</v>
      </c>
      <c r="Z59" s="50">
        <v>0</v>
      </c>
      <c r="AA59" s="50">
        <v>0</v>
      </c>
      <c r="AB59" s="73">
        <v>59</v>
      </c>
      <c r="AC59" s="73"/>
      <c r="AD59" s="74"/>
      <c r="AE59" s="81" t="s">
        <v>1069</v>
      </c>
      <c r="AF59" s="90" t="s">
        <v>1140</v>
      </c>
      <c r="AG59" s="81">
        <v>1606</v>
      </c>
      <c r="AH59" s="81">
        <v>571</v>
      </c>
      <c r="AI59" s="81">
        <v>16322</v>
      </c>
      <c r="AJ59" s="81">
        <v>19185</v>
      </c>
      <c r="AK59" s="81"/>
      <c r="AL59" s="81" t="s">
        <v>1211</v>
      </c>
      <c r="AM59" s="81" t="s">
        <v>1275</v>
      </c>
      <c r="AN59" s="81"/>
      <c r="AO59" s="81"/>
      <c r="AP59" s="83">
        <v>39899.23974537037</v>
      </c>
      <c r="AQ59" s="86" t="str">
        <f>HYPERLINK("https://pbs.twimg.com/profile_banners/26959230/1654076062")</f>
        <v>https://pbs.twimg.com/profile_banners/26959230/1654076062</v>
      </c>
      <c r="AR59" s="81" t="b">
        <v>0</v>
      </c>
      <c r="AS59" s="81" t="b">
        <v>0</v>
      </c>
      <c r="AT59" s="81" t="b">
        <v>1</v>
      </c>
      <c r="AU59" s="81"/>
      <c r="AV59" s="81">
        <v>28</v>
      </c>
      <c r="AW59" s="86" t="str">
        <f>HYPERLINK("https://abs.twimg.com/images/themes/theme9/bg.gif")</f>
        <v>https://abs.twimg.com/images/themes/theme9/bg.gif</v>
      </c>
      <c r="AX59" s="81" t="b">
        <v>0</v>
      </c>
      <c r="AY59" s="81" t="s">
        <v>1294</v>
      </c>
      <c r="AZ59" s="86" t="str">
        <f>HYPERLINK("https://twitter.com/peterradiator")</f>
        <v>https://twitter.com/peterradiator</v>
      </c>
      <c r="BA59" s="81" t="s">
        <v>66</v>
      </c>
      <c r="BB59" s="81" t="str">
        <f>REPLACE(INDEX(GroupVertices[Group],MATCH(Vertices[[#This Row],[Vertex]],GroupVertices[Vertex],0)),1,1,"")</f>
        <v>14</v>
      </c>
      <c r="BC59" s="49"/>
      <c r="BD59" s="49"/>
      <c r="BE59" s="49"/>
      <c r="BF59" s="49"/>
      <c r="BG59" s="49"/>
      <c r="BH59" s="49"/>
      <c r="BI59" s="112" t="s">
        <v>1726</v>
      </c>
      <c r="BJ59" s="112" t="s">
        <v>1726</v>
      </c>
      <c r="BK59" s="112" t="s">
        <v>1768</v>
      </c>
      <c r="BL59" s="112" t="s">
        <v>1768</v>
      </c>
      <c r="BM59" s="112">
        <v>1</v>
      </c>
      <c r="BN59" s="115">
        <v>11.11111111111111</v>
      </c>
      <c r="BO59" s="112">
        <v>0</v>
      </c>
      <c r="BP59" s="115">
        <v>0</v>
      </c>
      <c r="BQ59" s="112">
        <v>0</v>
      </c>
      <c r="BR59" s="115">
        <v>0</v>
      </c>
      <c r="BS59" s="112">
        <v>8</v>
      </c>
      <c r="BT59" s="115">
        <v>88.88888888888889</v>
      </c>
      <c r="BU59" s="112">
        <v>9</v>
      </c>
      <c r="BV59" s="2"/>
      <c r="BW59" s="3"/>
      <c r="BX59" s="3"/>
      <c r="BY59" s="3"/>
      <c r="BZ59" s="3"/>
    </row>
    <row r="60" spans="1:78" ht="41.45" customHeight="1">
      <c r="A60" s="66" t="s">
        <v>319</v>
      </c>
      <c r="C60" s="67"/>
      <c r="D60" s="67" t="s">
        <v>64</v>
      </c>
      <c r="E60" s="68">
        <v>192.83081291034918</v>
      </c>
      <c r="F60" s="70">
        <v>99.82472399822157</v>
      </c>
      <c r="G60" s="105" t="str">
        <f>HYPERLINK("https://pbs.twimg.com/profile_images/1533506737294155779/fuxZO61u_normal.jpg")</f>
        <v>https://pbs.twimg.com/profile_images/1533506737294155779/fuxZO61u_normal.jpg</v>
      </c>
      <c r="H60" s="67"/>
      <c r="I60" s="71" t="s">
        <v>319</v>
      </c>
      <c r="J60" s="72"/>
      <c r="K60" s="72"/>
      <c r="L60" s="71" t="s">
        <v>1351</v>
      </c>
      <c r="M60" s="75">
        <v>59.41364885935964</v>
      </c>
      <c r="N60" s="76">
        <v>9539.3994140625</v>
      </c>
      <c r="O60" s="76">
        <v>1028.658203125</v>
      </c>
      <c r="P60" s="77"/>
      <c r="Q60" s="78"/>
      <c r="R60" s="78"/>
      <c r="S60" s="91"/>
      <c r="T60" s="49">
        <v>1</v>
      </c>
      <c r="U60" s="49">
        <v>0</v>
      </c>
      <c r="V60" s="50">
        <v>0</v>
      </c>
      <c r="W60" s="50">
        <v>0.012658</v>
      </c>
      <c r="X60" s="50">
        <v>0</v>
      </c>
      <c r="Y60" s="50">
        <v>0.0125</v>
      </c>
      <c r="Z60" s="50">
        <v>0</v>
      </c>
      <c r="AA60" s="50">
        <v>0</v>
      </c>
      <c r="AB60" s="73">
        <v>60</v>
      </c>
      <c r="AC60" s="73"/>
      <c r="AD60" s="74"/>
      <c r="AE60" s="81" t="s">
        <v>1070</v>
      </c>
      <c r="AF60" s="90" t="s">
        <v>966</v>
      </c>
      <c r="AG60" s="81">
        <v>1528</v>
      </c>
      <c r="AH60" s="81">
        <v>1874</v>
      </c>
      <c r="AI60" s="81">
        <v>30618</v>
      </c>
      <c r="AJ60" s="81">
        <v>138698</v>
      </c>
      <c r="AK60" s="81"/>
      <c r="AL60" s="81" t="s">
        <v>1212</v>
      </c>
      <c r="AM60" s="81" t="s">
        <v>1276</v>
      </c>
      <c r="AN60" s="81"/>
      <c r="AO60" s="81"/>
      <c r="AP60" s="83">
        <v>39859.2244212963</v>
      </c>
      <c r="AQ60" s="86" t="str">
        <f>HYPERLINK("https://pbs.twimg.com/profile_banners/20894748/1568445489")</f>
        <v>https://pbs.twimg.com/profile_banners/20894748/1568445489</v>
      </c>
      <c r="AR60" s="81" t="b">
        <v>0</v>
      </c>
      <c r="AS60" s="81" t="b">
        <v>0</v>
      </c>
      <c r="AT60" s="81" t="b">
        <v>1</v>
      </c>
      <c r="AU60" s="81"/>
      <c r="AV60" s="81">
        <v>13</v>
      </c>
      <c r="AW60" s="86" t="str">
        <f>HYPERLINK("https://abs.twimg.com/images/themes/theme1/bg.png")</f>
        <v>https://abs.twimg.com/images/themes/theme1/bg.png</v>
      </c>
      <c r="AX60" s="81" t="b">
        <v>0</v>
      </c>
      <c r="AY60" s="81" t="s">
        <v>1294</v>
      </c>
      <c r="AZ60" s="86" t="str">
        <f>HYPERLINK("https://twitter.com/tonytiger67")</f>
        <v>https://twitter.com/tonytiger67</v>
      </c>
      <c r="BA60" s="81" t="s">
        <v>65</v>
      </c>
      <c r="BB60" s="81" t="str">
        <f>REPLACE(INDEX(GroupVertices[Group],MATCH(Vertices[[#This Row],[Vertex]],GroupVertices[Vertex],0)),1,1,"")</f>
        <v>14</v>
      </c>
      <c r="BC60" s="49"/>
      <c r="BD60" s="49"/>
      <c r="BE60" s="49"/>
      <c r="BF60" s="49"/>
      <c r="BG60" s="49"/>
      <c r="BH60" s="49"/>
      <c r="BI60" s="49"/>
      <c r="BJ60" s="49"/>
      <c r="BK60" s="49"/>
      <c r="BL60" s="49"/>
      <c r="BM60" s="49"/>
      <c r="BN60" s="50"/>
      <c r="BO60" s="49"/>
      <c r="BP60" s="50"/>
      <c r="BQ60" s="49"/>
      <c r="BR60" s="50"/>
      <c r="BS60" s="49"/>
      <c r="BT60" s="50"/>
      <c r="BU60" s="49"/>
      <c r="BV60" s="2"/>
      <c r="BW60" s="3"/>
      <c r="BX60" s="3"/>
      <c r="BY60" s="3"/>
      <c r="BZ60" s="3"/>
    </row>
    <row r="61" spans="1:78" ht="41.45" customHeight="1">
      <c r="A61" s="66" t="s">
        <v>293</v>
      </c>
      <c r="C61" s="67"/>
      <c r="D61" s="67" t="s">
        <v>64</v>
      </c>
      <c r="E61" s="68">
        <v>954.5138113921804</v>
      </c>
      <c r="F61" s="70">
        <v>95.49448622652497</v>
      </c>
      <c r="G61" s="105" t="str">
        <f>HYPERLINK("https://pbs.twimg.com/profile_images/1536340910086103044/6rymItWF_normal.jpg")</f>
        <v>https://pbs.twimg.com/profile_images/1536340910086103044/6rymItWF_normal.jpg</v>
      </c>
      <c r="H61" s="67"/>
      <c r="I61" s="71" t="s">
        <v>293</v>
      </c>
      <c r="J61" s="72"/>
      <c r="K61" s="72"/>
      <c r="L61" s="71" t="s">
        <v>1352</v>
      </c>
      <c r="M61" s="75">
        <v>1502.5375569067762</v>
      </c>
      <c r="N61" s="76">
        <v>2708.841796875</v>
      </c>
      <c r="O61" s="76">
        <v>1023.1277465820312</v>
      </c>
      <c r="P61" s="77"/>
      <c r="Q61" s="78"/>
      <c r="R61" s="78"/>
      <c r="S61" s="91"/>
      <c r="T61" s="49">
        <v>1</v>
      </c>
      <c r="U61" s="49">
        <v>1</v>
      </c>
      <c r="V61" s="50">
        <v>0</v>
      </c>
      <c r="W61" s="50">
        <v>0</v>
      </c>
      <c r="X61" s="50">
        <v>0</v>
      </c>
      <c r="Y61" s="50">
        <v>0.0125</v>
      </c>
      <c r="Z61" s="50">
        <v>0</v>
      </c>
      <c r="AA61" s="50">
        <v>0</v>
      </c>
      <c r="AB61" s="73">
        <v>61</v>
      </c>
      <c r="AC61" s="73"/>
      <c r="AD61" s="74"/>
      <c r="AE61" s="81" t="s">
        <v>1071</v>
      </c>
      <c r="AF61" s="90" t="s">
        <v>1141</v>
      </c>
      <c r="AG61" s="81">
        <v>23513</v>
      </c>
      <c r="AH61" s="81">
        <v>47974</v>
      </c>
      <c r="AI61" s="81">
        <v>90721</v>
      </c>
      <c r="AJ61" s="81">
        <v>37339</v>
      </c>
      <c r="AK61" s="81"/>
      <c r="AL61" s="81" t="s">
        <v>1213</v>
      </c>
      <c r="AM61" s="81" t="s">
        <v>1277</v>
      </c>
      <c r="AN61" s="86" t="str">
        <f>HYPERLINK("https://t.co/np7ZV75fpB")</f>
        <v>https://t.co/np7ZV75fpB</v>
      </c>
      <c r="AO61" s="81"/>
      <c r="AP61" s="83">
        <v>39353.77269675926</v>
      </c>
      <c r="AQ61" s="86" t="str">
        <f>HYPERLINK("https://pbs.twimg.com/profile_banners/9147152/1398687971")</f>
        <v>https://pbs.twimg.com/profile_banners/9147152/1398687971</v>
      </c>
      <c r="AR61" s="81" t="b">
        <v>0</v>
      </c>
      <c r="AS61" s="81" t="b">
        <v>0</v>
      </c>
      <c r="AT61" s="81" t="b">
        <v>1</v>
      </c>
      <c r="AU61" s="81"/>
      <c r="AV61" s="81">
        <v>477</v>
      </c>
      <c r="AW61" s="86" t="str">
        <f>HYPERLINK("https://abs.twimg.com/images/themes/theme9/bg.gif")</f>
        <v>https://abs.twimg.com/images/themes/theme9/bg.gif</v>
      </c>
      <c r="AX61" s="81" t="b">
        <v>0</v>
      </c>
      <c r="AY61" s="81" t="s">
        <v>1294</v>
      </c>
      <c r="AZ61" s="86" t="str">
        <f>HYPERLINK("https://twitter.com/ironmanrecords")</f>
        <v>https://twitter.com/ironmanrecords</v>
      </c>
      <c r="BA61" s="81" t="s">
        <v>66</v>
      </c>
      <c r="BB61" s="81" t="str">
        <f>REPLACE(INDEX(GroupVertices[Group],MATCH(Vertices[[#This Row],[Vertex]],GroupVertices[Vertex],0)),1,1,"")</f>
        <v>2</v>
      </c>
      <c r="BC61" s="49" t="s">
        <v>1414</v>
      </c>
      <c r="BD61" s="49" t="s">
        <v>1414</v>
      </c>
      <c r="BE61" s="49" t="s">
        <v>521</v>
      </c>
      <c r="BF61" s="49" t="s">
        <v>521</v>
      </c>
      <c r="BG61" s="49" t="s">
        <v>539</v>
      </c>
      <c r="BH61" s="49" t="s">
        <v>539</v>
      </c>
      <c r="BI61" s="112" t="s">
        <v>1727</v>
      </c>
      <c r="BJ61" s="112" t="s">
        <v>1727</v>
      </c>
      <c r="BK61" s="112" t="s">
        <v>1769</v>
      </c>
      <c r="BL61" s="112" t="s">
        <v>1769</v>
      </c>
      <c r="BM61" s="112">
        <v>0</v>
      </c>
      <c r="BN61" s="115">
        <v>0</v>
      </c>
      <c r="BO61" s="112">
        <v>0</v>
      </c>
      <c r="BP61" s="115">
        <v>0</v>
      </c>
      <c r="BQ61" s="112">
        <v>0</v>
      </c>
      <c r="BR61" s="115">
        <v>0</v>
      </c>
      <c r="BS61" s="112">
        <v>12</v>
      </c>
      <c r="BT61" s="115">
        <v>100</v>
      </c>
      <c r="BU61" s="112">
        <v>12</v>
      </c>
      <c r="BV61" s="2"/>
      <c r="BW61" s="3"/>
      <c r="BX61" s="3"/>
      <c r="BY61" s="3"/>
      <c r="BZ61" s="3"/>
    </row>
    <row r="62" spans="1:78" ht="41.45" customHeight="1">
      <c r="A62" s="66" t="s">
        <v>294</v>
      </c>
      <c r="C62" s="67"/>
      <c r="D62" s="67" t="s">
        <v>64</v>
      </c>
      <c r="E62" s="68">
        <v>176.91973422188923</v>
      </c>
      <c r="F62" s="70">
        <v>99.91517994126156</v>
      </c>
      <c r="G62" s="105" t="str">
        <f>HYPERLINK("https://pbs.twimg.com/profile_images/1532177550948159488/lO1f56If_normal.jpg")</f>
        <v>https://pbs.twimg.com/profile_images/1532177550948159488/lO1f56If_normal.jpg</v>
      </c>
      <c r="H62" s="67"/>
      <c r="I62" s="71" t="s">
        <v>294</v>
      </c>
      <c r="J62" s="72"/>
      <c r="K62" s="72"/>
      <c r="L62" s="71" t="s">
        <v>1353</v>
      </c>
      <c r="M62" s="75">
        <v>29.267698242230306</v>
      </c>
      <c r="N62" s="76">
        <v>9479.2763671875</v>
      </c>
      <c r="O62" s="76">
        <v>9191.55859375</v>
      </c>
      <c r="P62" s="77"/>
      <c r="Q62" s="78"/>
      <c r="R62" s="78"/>
      <c r="S62" s="91"/>
      <c r="T62" s="49">
        <v>0</v>
      </c>
      <c r="U62" s="49">
        <v>1</v>
      </c>
      <c r="V62" s="50">
        <v>0</v>
      </c>
      <c r="W62" s="50">
        <v>0.016878</v>
      </c>
      <c r="X62" s="50">
        <v>0</v>
      </c>
      <c r="Y62" s="50">
        <v>0.011364</v>
      </c>
      <c r="Z62" s="50">
        <v>0</v>
      </c>
      <c r="AA62" s="50">
        <v>0</v>
      </c>
      <c r="AB62" s="73">
        <v>62</v>
      </c>
      <c r="AC62" s="73"/>
      <c r="AD62" s="74"/>
      <c r="AE62" s="81" t="s">
        <v>1072</v>
      </c>
      <c r="AF62" s="90" t="s">
        <v>1142</v>
      </c>
      <c r="AG62" s="81">
        <v>2495</v>
      </c>
      <c r="AH62" s="81">
        <v>911</v>
      </c>
      <c r="AI62" s="81">
        <v>10841</v>
      </c>
      <c r="AJ62" s="81">
        <v>11951</v>
      </c>
      <c r="AK62" s="81"/>
      <c r="AL62" s="81" t="s">
        <v>1214</v>
      </c>
      <c r="AM62" s="81" t="s">
        <v>1278</v>
      </c>
      <c r="AN62" s="86" t="str">
        <f>HYPERLINK("https://t.co/DjTNqMRknI")</f>
        <v>https://t.co/DjTNqMRknI</v>
      </c>
      <c r="AO62" s="81"/>
      <c r="AP62" s="83">
        <v>42457.70575231482</v>
      </c>
      <c r="AQ62" s="86" t="str">
        <f>HYPERLINK("https://pbs.twimg.com/profile_banners/714496340592627712/1571861400")</f>
        <v>https://pbs.twimg.com/profile_banners/714496340592627712/1571861400</v>
      </c>
      <c r="AR62" s="81" t="b">
        <v>0</v>
      </c>
      <c r="AS62" s="81" t="b">
        <v>0</v>
      </c>
      <c r="AT62" s="81" t="b">
        <v>0</v>
      </c>
      <c r="AU62" s="81"/>
      <c r="AV62" s="81">
        <v>4</v>
      </c>
      <c r="AW62" s="86" t="str">
        <f>HYPERLINK("https://abs.twimg.com/images/themes/theme1/bg.png")</f>
        <v>https://abs.twimg.com/images/themes/theme1/bg.png</v>
      </c>
      <c r="AX62" s="81" t="b">
        <v>0</v>
      </c>
      <c r="AY62" s="81" t="s">
        <v>1294</v>
      </c>
      <c r="AZ62" s="86" t="str">
        <f>HYPERLINK("https://twitter.com/realpilleater")</f>
        <v>https://twitter.com/realpilleater</v>
      </c>
      <c r="BA62" s="81" t="s">
        <v>66</v>
      </c>
      <c r="BB62" s="81" t="str">
        <f>REPLACE(INDEX(GroupVertices[Group],MATCH(Vertices[[#This Row],[Vertex]],GroupVertices[Vertex],0)),1,1,"")</f>
        <v>9</v>
      </c>
      <c r="BC62" s="49"/>
      <c r="BD62" s="49"/>
      <c r="BE62" s="49"/>
      <c r="BF62" s="49"/>
      <c r="BG62" s="49"/>
      <c r="BH62" s="49"/>
      <c r="BI62" s="112" t="s">
        <v>1554</v>
      </c>
      <c r="BJ62" s="112" t="s">
        <v>1554</v>
      </c>
      <c r="BK62" s="112" t="s">
        <v>1626</v>
      </c>
      <c r="BL62" s="112" t="s">
        <v>1626</v>
      </c>
      <c r="BM62" s="112">
        <v>3</v>
      </c>
      <c r="BN62" s="115">
        <v>10.714285714285714</v>
      </c>
      <c r="BO62" s="112">
        <v>1</v>
      </c>
      <c r="BP62" s="115">
        <v>3.5714285714285716</v>
      </c>
      <c r="BQ62" s="112">
        <v>0</v>
      </c>
      <c r="BR62" s="115">
        <v>0</v>
      </c>
      <c r="BS62" s="112">
        <v>24</v>
      </c>
      <c r="BT62" s="115">
        <v>85.71428571428571</v>
      </c>
      <c r="BU62" s="112">
        <v>28</v>
      </c>
      <c r="BV62" s="2"/>
      <c r="BW62" s="3"/>
      <c r="BX62" s="3"/>
      <c r="BY62" s="3"/>
      <c r="BZ62" s="3"/>
    </row>
    <row r="63" spans="1:78" ht="41.45" customHeight="1">
      <c r="A63" s="66" t="s">
        <v>299</v>
      </c>
      <c r="C63" s="67"/>
      <c r="D63" s="67" t="s">
        <v>64</v>
      </c>
      <c r="E63" s="68">
        <v>268.43735089414224</v>
      </c>
      <c r="F63" s="70">
        <v>99.39489388882279</v>
      </c>
      <c r="G63" s="105" t="str">
        <f>HYPERLINK("https://pbs.twimg.com/profile_images/1486993658880659459/u_wmC18O_normal.jpg")</f>
        <v>https://pbs.twimg.com/profile_images/1486993658880659459/u_wmC18O_normal.jpg</v>
      </c>
      <c r="H63" s="67"/>
      <c r="I63" s="71" t="s">
        <v>299</v>
      </c>
      <c r="J63" s="72"/>
      <c r="K63" s="72"/>
      <c r="L63" s="71" t="s">
        <v>1354</v>
      </c>
      <c r="M63" s="75">
        <v>202.6616966516585</v>
      </c>
      <c r="N63" s="76">
        <v>8760.4814453125</v>
      </c>
      <c r="O63" s="76">
        <v>8240.326171875</v>
      </c>
      <c r="P63" s="77"/>
      <c r="Q63" s="78"/>
      <c r="R63" s="78"/>
      <c r="S63" s="91"/>
      <c r="T63" s="49">
        <v>3</v>
      </c>
      <c r="U63" s="49">
        <v>1</v>
      </c>
      <c r="V63" s="50">
        <v>2</v>
      </c>
      <c r="W63" s="50">
        <v>0.025316</v>
      </c>
      <c r="X63" s="50">
        <v>0</v>
      </c>
      <c r="Y63" s="50">
        <v>0.014773</v>
      </c>
      <c r="Z63" s="50">
        <v>0</v>
      </c>
      <c r="AA63" s="50">
        <v>0</v>
      </c>
      <c r="AB63" s="73">
        <v>63</v>
      </c>
      <c r="AC63" s="73"/>
      <c r="AD63" s="74"/>
      <c r="AE63" s="81" t="s">
        <v>1073</v>
      </c>
      <c r="AF63" s="90" t="s">
        <v>970</v>
      </c>
      <c r="AG63" s="81">
        <v>1191</v>
      </c>
      <c r="AH63" s="81">
        <v>6450</v>
      </c>
      <c r="AI63" s="81">
        <v>48337</v>
      </c>
      <c r="AJ63" s="81">
        <v>59294</v>
      </c>
      <c r="AK63" s="81"/>
      <c r="AL63" s="81" t="s">
        <v>1215</v>
      </c>
      <c r="AM63" s="81" t="s">
        <v>1279</v>
      </c>
      <c r="AN63" s="86" t="str">
        <f>HYPERLINK("https://t.co/ksz8FZKcLM")</f>
        <v>https://t.co/ksz8FZKcLM</v>
      </c>
      <c r="AO63" s="81"/>
      <c r="AP63" s="83">
        <v>43297.787766203706</v>
      </c>
      <c r="AQ63" s="86" t="str">
        <f>HYPERLINK("https://pbs.twimg.com/profile_banners/1018931868564180993/1653823913")</f>
        <v>https://pbs.twimg.com/profile_banners/1018931868564180993/1653823913</v>
      </c>
      <c r="AR63" s="81" t="b">
        <v>1</v>
      </c>
      <c r="AS63" s="81" t="b">
        <v>0</v>
      </c>
      <c r="AT63" s="81" t="b">
        <v>0</v>
      </c>
      <c r="AU63" s="81"/>
      <c r="AV63" s="81">
        <v>58</v>
      </c>
      <c r="AW63" s="81"/>
      <c r="AX63" s="81" t="b">
        <v>0</v>
      </c>
      <c r="AY63" s="81" t="s">
        <v>1294</v>
      </c>
      <c r="AZ63" s="86" t="str">
        <f>HYPERLINK("https://twitter.com/heghoulian")</f>
        <v>https://twitter.com/heghoulian</v>
      </c>
      <c r="BA63" s="81" t="s">
        <v>66</v>
      </c>
      <c r="BB63" s="81" t="str">
        <f>REPLACE(INDEX(GroupVertices[Group],MATCH(Vertices[[#This Row],[Vertex]],GroupVertices[Vertex],0)),1,1,"")</f>
        <v>9</v>
      </c>
      <c r="BC63" s="49"/>
      <c r="BD63" s="49"/>
      <c r="BE63" s="49"/>
      <c r="BF63" s="49"/>
      <c r="BG63" s="49"/>
      <c r="BH63" s="49"/>
      <c r="BI63" s="112" t="s">
        <v>1554</v>
      </c>
      <c r="BJ63" s="112" t="s">
        <v>1554</v>
      </c>
      <c r="BK63" s="112" t="s">
        <v>1626</v>
      </c>
      <c r="BL63" s="112" t="s">
        <v>1626</v>
      </c>
      <c r="BM63" s="112">
        <v>3</v>
      </c>
      <c r="BN63" s="115">
        <v>10.714285714285714</v>
      </c>
      <c r="BO63" s="112">
        <v>1</v>
      </c>
      <c r="BP63" s="115">
        <v>3.5714285714285716</v>
      </c>
      <c r="BQ63" s="112">
        <v>0</v>
      </c>
      <c r="BR63" s="115">
        <v>0</v>
      </c>
      <c r="BS63" s="112">
        <v>24</v>
      </c>
      <c r="BT63" s="115">
        <v>85.71428571428571</v>
      </c>
      <c r="BU63" s="112">
        <v>28</v>
      </c>
      <c r="BV63" s="2"/>
      <c r="BW63" s="3"/>
      <c r="BX63" s="3"/>
      <c r="BY63" s="3"/>
      <c r="BZ63" s="3"/>
    </row>
    <row r="64" spans="1:78" ht="41.45" customHeight="1">
      <c r="A64" s="66" t="s">
        <v>295</v>
      </c>
      <c r="C64" s="67"/>
      <c r="D64" s="67" t="s">
        <v>64</v>
      </c>
      <c r="E64" s="68">
        <v>180.2572605926773</v>
      </c>
      <c r="F64" s="70">
        <v>99.89620579744631</v>
      </c>
      <c r="G64" s="105" t="str">
        <f>HYPERLINK("https://pbs.twimg.com/profile_images/512321332512837633/EOPmQ3gK_normal.jpeg")</f>
        <v>https://pbs.twimg.com/profile_images/512321332512837633/EOPmQ3gK_normal.jpeg</v>
      </c>
      <c r="H64" s="67"/>
      <c r="I64" s="71" t="s">
        <v>295</v>
      </c>
      <c r="J64" s="72"/>
      <c r="K64" s="72"/>
      <c r="L64" s="71" t="s">
        <v>1355</v>
      </c>
      <c r="M64" s="75">
        <v>35.591147904390354</v>
      </c>
      <c r="N64" s="76">
        <v>4688.2314453125</v>
      </c>
      <c r="O64" s="76">
        <v>9385.7255859375</v>
      </c>
      <c r="P64" s="77"/>
      <c r="Q64" s="78"/>
      <c r="R64" s="78"/>
      <c r="S64" s="91"/>
      <c r="T64" s="49">
        <v>0</v>
      </c>
      <c r="U64" s="49">
        <v>2</v>
      </c>
      <c r="V64" s="50">
        <v>2</v>
      </c>
      <c r="W64" s="50">
        <v>0.035162</v>
      </c>
      <c r="X64" s="50">
        <v>0</v>
      </c>
      <c r="Y64" s="50">
        <v>0.01224</v>
      </c>
      <c r="Z64" s="50">
        <v>0</v>
      </c>
      <c r="AA64" s="50">
        <v>0</v>
      </c>
      <c r="AB64" s="73">
        <v>64</v>
      </c>
      <c r="AC64" s="73"/>
      <c r="AD64" s="74"/>
      <c r="AE64" s="81" t="s">
        <v>1074</v>
      </c>
      <c r="AF64" s="90" t="s">
        <v>1143</v>
      </c>
      <c r="AG64" s="81">
        <v>1345</v>
      </c>
      <c r="AH64" s="81">
        <v>1113</v>
      </c>
      <c r="AI64" s="81">
        <v>11932</v>
      </c>
      <c r="AJ64" s="81">
        <v>29339</v>
      </c>
      <c r="AK64" s="81"/>
      <c r="AL64" s="81" t="s">
        <v>1216</v>
      </c>
      <c r="AM64" s="81"/>
      <c r="AN64" s="81"/>
      <c r="AO64" s="81"/>
      <c r="AP64" s="83">
        <v>41896.590219907404</v>
      </c>
      <c r="AQ64" s="81"/>
      <c r="AR64" s="81" t="b">
        <v>1</v>
      </c>
      <c r="AS64" s="81" t="b">
        <v>0</v>
      </c>
      <c r="AT64" s="81" t="b">
        <v>0</v>
      </c>
      <c r="AU64" s="81"/>
      <c r="AV64" s="81">
        <v>4</v>
      </c>
      <c r="AW64" s="86" t="str">
        <f>HYPERLINK("https://abs.twimg.com/images/themes/theme1/bg.png")</f>
        <v>https://abs.twimg.com/images/themes/theme1/bg.png</v>
      </c>
      <c r="AX64" s="81" t="b">
        <v>0</v>
      </c>
      <c r="AY64" s="81" t="s">
        <v>1294</v>
      </c>
      <c r="AZ64" s="86" t="str">
        <f>HYPERLINK("https://twitter.com/michaelmee_too")</f>
        <v>https://twitter.com/michaelmee_too</v>
      </c>
      <c r="BA64" s="81" t="s">
        <v>66</v>
      </c>
      <c r="BB64" s="81" t="str">
        <f>REPLACE(INDEX(GroupVertices[Group],MATCH(Vertices[[#This Row],[Vertex]],GroupVertices[Vertex],0)),1,1,"")</f>
        <v>3</v>
      </c>
      <c r="BC64" s="49"/>
      <c r="BD64" s="49"/>
      <c r="BE64" s="49"/>
      <c r="BF64" s="49"/>
      <c r="BG64" s="49"/>
      <c r="BH64" s="49"/>
      <c r="BI64" s="112" t="s">
        <v>1728</v>
      </c>
      <c r="BJ64" s="112" t="s">
        <v>1728</v>
      </c>
      <c r="BK64" s="112" t="s">
        <v>1770</v>
      </c>
      <c r="BL64" s="112" t="s">
        <v>1770</v>
      </c>
      <c r="BM64" s="112">
        <v>0</v>
      </c>
      <c r="BN64" s="115">
        <v>0</v>
      </c>
      <c r="BO64" s="112">
        <v>0</v>
      </c>
      <c r="BP64" s="115">
        <v>0</v>
      </c>
      <c r="BQ64" s="112">
        <v>0</v>
      </c>
      <c r="BR64" s="115">
        <v>0</v>
      </c>
      <c r="BS64" s="112">
        <v>4</v>
      </c>
      <c r="BT64" s="115">
        <v>100</v>
      </c>
      <c r="BU64" s="112">
        <v>4</v>
      </c>
      <c r="BV64" s="2"/>
      <c r="BW64" s="3"/>
      <c r="BX64" s="3"/>
      <c r="BY64" s="3"/>
      <c r="BZ64" s="3"/>
    </row>
    <row r="65" spans="1:78" ht="41.45" customHeight="1">
      <c r="A65" s="66" t="s">
        <v>320</v>
      </c>
      <c r="C65" s="67"/>
      <c r="D65" s="67" t="s">
        <v>64</v>
      </c>
      <c r="E65" s="68">
        <v>200.39807567183897</v>
      </c>
      <c r="F65" s="70">
        <v>99.78170341471967</v>
      </c>
      <c r="G65" s="105" t="str">
        <f>HYPERLINK("https://pbs.twimg.com/profile_images/1527416024353624089/jVJevAzR_normal.jpg")</f>
        <v>https://pbs.twimg.com/profile_images/1527416024353624089/jVJevAzR_normal.jpg</v>
      </c>
      <c r="H65" s="67"/>
      <c r="I65" s="71" t="s">
        <v>320</v>
      </c>
      <c r="J65" s="72"/>
      <c r="K65" s="72"/>
      <c r="L65" s="71" t="s">
        <v>1356</v>
      </c>
      <c r="M65" s="75">
        <v>73.75097532108886</v>
      </c>
      <c r="N65" s="76">
        <v>3940.792724609375</v>
      </c>
      <c r="O65" s="76">
        <v>9667.1748046875</v>
      </c>
      <c r="P65" s="77"/>
      <c r="Q65" s="78"/>
      <c r="R65" s="78"/>
      <c r="S65" s="91"/>
      <c r="T65" s="49">
        <v>2</v>
      </c>
      <c r="U65" s="49">
        <v>0</v>
      </c>
      <c r="V65" s="50">
        <v>2</v>
      </c>
      <c r="W65" s="50">
        <v>0.035162</v>
      </c>
      <c r="X65" s="50">
        <v>0</v>
      </c>
      <c r="Y65" s="50">
        <v>0.01224</v>
      </c>
      <c r="Z65" s="50">
        <v>0</v>
      </c>
      <c r="AA65" s="50">
        <v>0</v>
      </c>
      <c r="AB65" s="73">
        <v>65</v>
      </c>
      <c r="AC65" s="73"/>
      <c r="AD65" s="74"/>
      <c r="AE65" s="81" t="s">
        <v>1075</v>
      </c>
      <c r="AF65" s="90" t="s">
        <v>972</v>
      </c>
      <c r="AG65" s="81">
        <v>2135</v>
      </c>
      <c r="AH65" s="81">
        <v>2332</v>
      </c>
      <c r="AI65" s="81">
        <v>16731</v>
      </c>
      <c r="AJ65" s="81">
        <v>79098</v>
      </c>
      <c r="AK65" s="81"/>
      <c r="AL65" s="81" t="s">
        <v>1217</v>
      </c>
      <c r="AM65" s="81" t="s">
        <v>1280</v>
      </c>
      <c r="AN65" s="81"/>
      <c r="AO65" s="81"/>
      <c r="AP65" s="83">
        <v>40764.91788194444</v>
      </c>
      <c r="AQ65" s="86" t="str">
        <f>HYPERLINK("https://pbs.twimg.com/profile_banners/351908618/1640384432")</f>
        <v>https://pbs.twimg.com/profile_banners/351908618/1640384432</v>
      </c>
      <c r="AR65" s="81" t="b">
        <v>1</v>
      </c>
      <c r="AS65" s="81" t="b">
        <v>0</v>
      </c>
      <c r="AT65" s="81" t="b">
        <v>1</v>
      </c>
      <c r="AU65" s="81"/>
      <c r="AV65" s="81">
        <v>4</v>
      </c>
      <c r="AW65" s="86" t="str">
        <f>HYPERLINK("https://abs.twimg.com/images/themes/theme1/bg.png")</f>
        <v>https://abs.twimg.com/images/themes/theme1/bg.png</v>
      </c>
      <c r="AX65" s="81" t="b">
        <v>0</v>
      </c>
      <c r="AY65" s="81" t="s">
        <v>1294</v>
      </c>
      <c r="AZ65" s="86" t="str">
        <f>HYPERLINK("https://twitter.com/stu_art_p")</f>
        <v>https://twitter.com/stu_art_p</v>
      </c>
      <c r="BA65" s="81" t="s">
        <v>65</v>
      </c>
      <c r="BB65" s="81" t="str">
        <f>REPLACE(INDEX(GroupVertices[Group],MATCH(Vertices[[#This Row],[Vertex]],GroupVertices[Vertex],0)),1,1,"")</f>
        <v>3</v>
      </c>
      <c r="BC65" s="49"/>
      <c r="BD65" s="49"/>
      <c r="BE65" s="49"/>
      <c r="BF65" s="49"/>
      <c r="BG65" s="49"/>
      <c r="BH65" s="49"/>
      <c r="BI65" s="49"/>
      <c r="BJ65" s="49"/>
      <c r="BK65" s="49"/>
      <c r="BL65" s="49"/>
      <c r="BM65" s="49"/>
      <c r="BN65" s="50"/>
      <c r="BO65" s="49"/>
      <c r="BP65" s="50"/>
      <c r="BQ65" s="49"/>
      <c r="BR65" s="50"/>
      <c r="BS65" s="49"/>
      <c r="BT65" s="50"/>
      <c r="BU65" s="49"/>
      <c r="BV65" s="2"/>
      <c r="BW65" s="3"/>
      <c r="BX65" s="3"/>
      <c r="BY65" s="3"/>
      <c r="BZ65" s="3"/>
    </row>
    <row r="66" spans="1:78" ht="41.45" customHeight="1">
      <c r="A66" s="66" t="s">
        <v>321</v>
      </c>
      <c r="C66" s="67"/>
      <c r="D66" s="67" t="s">
        <v>64</v>
      </c>
      <c r="E66" s="68">
        <v>179.46418501942074</v>
      </c>
      <c r="F66" s="70">
        <v>99.90071450488756</v>
      </c>
      <c r="G66" s="105" t="str">
        <f>HYPERLINK("https://pbs.twimg.com/profile_images/1480246994677477383/rDg9U_MV_normal.jpg")</f>
        <v>https://pbs.twimg.com/profile_images/1480246994677477383/rDg9U_MV_normal.jpg</v>
      </c>
      <c r="H66" s="67"/>
      <c r="I66" s="71" t="s">
        <v>321</v>
      </c>
      <c r="J66" s="72"/>
      <c r="K66" s="72"/>
      <c r="L66" s="71" t="s">
        <v>1357</v>
      </c>
      <c r="M66" s="75">
        <v>34.088546004471134</v>
      </c>
      <c r="N66" s="76">
        <v>4558.4365234375</v>
      </c>
      <c r="O66" s="76">
        <v>7559.78271484375</v>
      </c>
      <c r="P66" s="77"/>
      <c r="Q66" s="78"/>
      <c r="R66" s="78"/>
      <c r="S66" s="91"/>
      <c r="T66" s="49">
        <v>3</v>
      </c>
      <c r="U66" s="49">
        <v>0</v>
      </c>
      <c r="V66" s="50">
        <v>10</v>
      </c>
      <c r="W66" s="50">
        <v>0.045208</v>
      </c>
      <c r="X66" s="50">
        <v>0</v>
      </c>
      <c r="Y66" s="50">
        <v>0.013938</v>
      </c>
      <c r="Z66" s="50">
        <v>0</v>
      </c>
      <c r="AA66" s="50">
        <v>0</v>
      </c>
      <c r="AB66" s="73">
        <v>66</v>
      </c>
      <c r="AC66" s="73"/>
      <c r="AD66" s="74"/>
      <c r="AE66" s="81" t="s">
        <v>1076</v>
      </c>
      <c r="AF66" s="90" t="s">
        <v>967</v>
      </c>
      <c r="AG66" s="81">
        <v>1713</v>
      </c>
      <c r="AH66" s="81">
        <v>1065</v>
      </c>
      <c r="AI66" s="81">
        <v>38589</v>
      </c>
      <c r="AJ66" s="81">
        <v>24036</v>
      </c>
      <c r="AK66" s="81"/>
      <c r="AL66" s="81" t="s">
        <v>1218</v>
      </c>
      <c r="AM66" s="81" t="s">
        <v>1281</v>
      </c>
      <c r="AN66" s="81"/>
      <c r="AO66" s="81"/>
      <c r="AP66" s="83">
        <v>40594.796111111114</v>
      </c>
      <c r="AQ66" s="86" t="str">
        <f>HYPERLINK("https://pbs.twimg.com/profile_banners/255135022/1644399459")</f>
        <v>https://pbs.twimg.com/profile_banners/255135022/1644399459</v>
      </c>
      <c r="AR66" s="81" t="b">
        <v>0</v>
      </c>
      <c r="AS66" s="81" t="b">
        <v>0</v>
      </c>
      <c r="AT66" s="81" t="b">
        <v>1</v>
      </c>
      <c r="AU66" s="81"/>
      <c r="AV66" s="81">
        <v>14</v>
      </c>
      <c r="AW66" s="86" t="str">
        <f>HYPERLINK("https://abs.twimg.com/images/themes/theme4/bg.gif")</f>
        <v>https://abs.twimg.com/images/themes/theme4/bg.gif</v>
      </c>
      <c r="AX66" s="81" t="b">
        <v>0</v>
      </c>
      <c r="AY66" s="81" t="s">
        <v>1294</v>
      </c>
      <c r="AZ66" s="86" t="str">
        <f>HYPERLINK("https://twitter.com/kev__1987")</f>
        <v>https://twitter.com/kev__1987</v>
      </c>
      <c r="BA66" s="81" t="s">
        <v>65</v>
      </c>
      <c r="BB66" s="81" t="str">
        <f>REPLACE(INDEX(GroupVertices[Group],MATCH(Vertices[[#This Row],[Vertex]],GroupVertices[Vertex],0)),1,1,"")</f>
        <v>3</v>
      </c>
      <c r="BC66" s="49"/>
      <c r="BD66" s="49"/>
      <c r="BE66" s="49"/>
      <c r="BF66" s="49"/>
      <c r="BG66" s="49"/>
      <c r="BH66" s="49"/>
      <c r="BI66" s="49"/>
      <c r="BJ66" s="49"/>
      <c r="BK66" s="49"/>
      <c r="BL66" s="49"/>
      <c r="BM66" s="49"/>
      <c r="BN66" s="50"/>
      <c r="BO66" s="49"/>
      <c r="BP66" s="50"/>
      <c r="BQ66" s="49"/>
      <c r="BR66" s="50"/>
      <c r="BS66" s="49"/>
      <c r="BT66" s="50"/>
      <c r="BU66" s="49"/>
      <c r="BV66" s="2"/>
      <c r="BW66" s="3"/>
      <c r="BX66" s="3"/>
      <c r="BY66" s="3"/>
      <c r="BZ66" s="3"/>
    </row>
    <row r="67" spans="1:78" ht="41.45" customHeight="1">
      <c r="A67" s="66" t="s">
        <v>296</v>
      </c>
      <c r="C67" s="67"/>
      <c r="D67" s="67" t="s">
        <v>64</v>
      </c>
      <c r="E67" s="68">
        <v>167.8489323527672</v>
      </c>
      <c r="F67" s="70">
        <v>99.96674828262081</v>
      </c>
      <c r="G67" s="105" t="str">
        <f>HYPERLINK("https://pbs.twimg.com/profile_images/1527150889974349825/qnqPLQ2b_normal.jpg")</f>
        <v>https://pbs.twimg.com/profile_images/1527150889974349825/qnqPLQ2b_normal.jpg</v>
      </c>
      <c r="H67" s="67"/>
      <c r="I67" s="71" t="s">
        <v>296</v>
      </c>
      <c r="J67" s="72"/>
      <c r="K67" s="72"/>
      <c r="L67" s="71" t="s">
        <v>1358</v>
      </c>
      <c r="M67" s="75">
        <v>12.08168901190424</v>
      </c>
      <c r="N67" s="76">
        <v>5924.046875</v>
      </c>
      <c r="O67" s="76">
        <v>7974.8662109375</v>
      </c>
      <c r="P67" s="77"/>
      <c r="Q67" s="78"/>
      <c r="R67" s="78"/>
      <c r="S67" s="91"/>
      <c r="T67" s="49">
        <v>0</v>
      </c>
      <c r="U67" s="49">
        <v>4</v>
      </c>
      <c r="V67" s="50">
        <v>12</v>
      </c>
      <c r="W67" s="50">
        <v>0.050633</v>
      </c>
      <c r="X67" s="50">
        <v>0</v>
      </c>
      <c r="Y67" s="50">
        <v>0.017392</v>
      </c>
      <c r="Z67" s="50">
        <v>0</v>
      </c>
      <c r="AA67" s="50">
        <v>0</v>
      </c>
      <c r="AB67" s="73">
        <v>67</v>
      </c>
      <c r="AC67" s="73"/>
      <c r="AD67" s="74"/>
      <c r="AE67" s="81" t="s">
        <v>296</v>
      </c>
      <c r="AF67" s="90" t="s">
        <v>1144</v>
      </c>
      <c r="AG67" s="81">
        <v>382</v>
      </c>
      <c r="AH67" s="81">
        <v>362</v>
      </c>
      <c r="AI67" s="81">
        <v>1151</v>
      </c>
      <c r="AJ67" s="81">
        <v>3114</v>
      </c>
      <c r="AK67" s="81"/>
      <c r="AL67" s="81" t="s">
        <v>1219</v>
      </c>
      <c r="AM67" s="81" t="s">
        <v>1282</v>
      </c>
      <c r="AN67" s="81"/>
      <c r="AO67" s="81"/>
      <c r="AP67" s="83">
        <v>39773.975023148145</v>
      </c>
      <c r="AQ67" s="86" t="str">
        <f>HYPERLINK("https://pbs.twimg.com/profile_banners/17548456/1642866897")</f>
        <v>https://pbs.twimg.com/profile_banners/17548456/1642866897</v>
      </c>
      <c r="AR67" s="81" t="b">
        <v>0</v>
      </c>
      <c r="AS67" s="81" t="b">
        <v>0</v>
      </c>
      <c r="AT67" s="81" t="b">
        <v>1</v>
      </c>
      <c r="AU67" s="81"/>
      <c r="AV67" s="81">
        <v>13</v>
      </c>
      <c r="AW67" s="86" t="str">
        <f>HYPERLINK("https://abs.twimg.com/images/themes/theme1/bg.png")</f>
        <v>https://abs.twimg.com/images/themes/theme1/bg.png</v>
      </c>
      <c r="AX67" s="81" t="b">
        <v>0</v>
      </c>
      <c r="AY67" s="81" t="s">
        <v>1294</v>
      </c>
      <c r="AZ67" s="86" t="str">
        <f>HYPERLINK("https://twitter.com/mennoknight")</f>
        <v>https://twitter.com/mennoknight</v>
      </c>
      <c r="BA67" s="81" t="s">
        <v>66</v>
      </c>
      <c r="BB67" s="81" t="str">
        <f>REPLACE(INDEX(GroupVertices[Group],MATCH(Vertices[[#This Row],[Vertex]],GroupVertices[Vertex],0)),1,1,"")</f>
        <v>4</v>
      </c>
      <c r="BC67" s="49"/>
      <c r="BD67" s="49"/>
      <c r="BE67" s="49"/>
      <c r="BF67" s="49"/>
      <c r="BG67" s="49"/>
      <c r="BH67" s="49"/>
      <c r="BI67" s="112" t="s">
        <v>1729</v>
      </c>
      <c r="BJ67" s="112" t="s">
        <v>1729</v>
      </c>
      <c r="BK67" s="112" t="s">
        <v>1771</v>
      </c>
      <c r="BL67" s="112" t="s">
        <v>1771</v>
      </c>
      <c r="BM67" s="112">
        <v>1</v>
      </c>
      <c r="BN67" s="115">
        <v>2.857142857142857</v>
      </c>
      <c r="BO67" s="112">
        <v>0</v>
      </c>
      <c r="BP67" s="115">
        <v>0</v>
      </c>
      <c r="BQ67" s="112">
        <v>0</v>
      </c>
      <c r="BR67" s="115">
        <v>0</v>
      </c>
      <c r="BS67" s="112">
        <v>34</v>
      </c>
      <c r="BT67" s="115">
        <v>97.14285714285714</v>
      </c>
      <c r="BU67" s="112">
        <v>35</v>
      </c>
      <c r="BV67" s="2"/>
      <c r="BW67" s="3"/>
      <c r="BX67" s="3"/>
      <c r="BY67" s="3"/>
      <c r="BZ67" s="3"/>
    </row>
    <row r="68" spans="1:78" ht="41.45" customHeight="1">
      <c r="A68" s="66" t="s">
        <v>322</v>
      </c>
      <c r="C68" s="67"/>
      <c r="D68" s="67" t="s">
        <v>64</v>
      </c>
      <c r="E68" s="68">
        <v>1000</v>
      </c>
      <c r="F68" s="70">
        <v>95.23589306848852</v>
      </c>
      <c r="G68" s="105" t="str">
        <f>HYPERLINK("https://pbs.twimg.com/profile_images/1530153677276717057/zsyZi-0M_normal.jpg")</f>
        <v>https://pbs.twimg.com/profile_images/1530153677276717057/zsyZi-0M_normal.jpg</v>
      </c>
      <c r="H68" s="67"/>
      <c r="I68" s="71" t="s">
        <v>322</v>
      </c>
      <c r="J68" s="72"/>
      <c r="K68" s="72"/>
      <c r="L68" s="71" t="s">
        <v>1359</v>
      </c>
      <c r="M68" s="75">
        <v>1588.7180367083931</v>
      </c>
      <c r="N68" s="76">
        <v>6642.841796875</v>
      </c>
      <c r="O68" s="76">
        <v>7892.08740234375</v>
      </c>
      <c r="P68" s="77"/>
      <c r="Q68" s="78"/>
      <c r="R68" s="78"/>
      <c r="S68" s="91"/>
      <c r="T68" s="49">
        <v>1</v>
      </c>
      <c r="U68" s="49">
        <v>0</v>
      </c>
      <c r="V68" s="50">
        <v>0</v>
      </c>
      <c r="W68" s="50">
        <v>0.028933</v>
      </c>
      <c r="X68" s="50">
        <v>0</v>
      </c>
      <c r="Y68" s="50">
        <v>0.011277</v>
      </c>
      <c r="Z68" s="50">
        <v>0</v>
      </c>
      <c r="AA68" s="50">
        <v>0</v>
      </c>
      <c r="AB68" s="73">
        <v>68</v>
      </c>
      <c r="AC68" s="73"/>
      <c r="AD68" s="74"/>
      <c r="AE68" s="81" t="s">
        <v>1077</v>
      </c>
      <c r="AF68" s="90" t="s">
        <v>1145</v>
      </c>
      <c r="AG68" s="81">
        <v>3826</v>
      </c>
      <c r="AH68" s="81">
        <v>50727</v>
      </c>
      <c r="AI68" s="81">
        <v>7847</v>
      </c>
      <c r="AJ68" s="81">
        <v>5221</v>
      </c>
      <c r="AK68" s="81"/>
      <c r="AL68" s="81" t="s">
        <v>1220</v>
      </c>
      <c r="AM68" s="81" t="s">
        <v>1283</v>
      </c>
      <c r="AN68" s="86" t="str">
        <f>HYPERLINK("https://t.co/WhvvtbHSlP")</f>
        <v>https://t.co/WhvvtbHSlP</v>
      </c>
      <c r="AO68" s="81"/>
      <c r="AP68" s="83">
        <v>40226.9741087963</v>
      </c>
      <c r="AQ68" s="86" t="str">
        <f>HYPERLINK("https://pbs.twimg.com/profile_banners/115204568/1653651649")</f>
        <v>https://pbs.twimg.com/profile_banners/115204568/1653651649</v>
      </c>
      <c r="AR68" s="81" t="b">
        <v>0</v>
      </c>
      <c r="AS68" s="81" t="b">
        <v>0</v>
      </c>
      <c r="AT68" s="81" t="b">
        <v>0</v>
      </c>
      <c r="AU68" s="81"/>
      <c r="AV68" s="81">
        <v>930</v>
      </c>
      <c r="AW68" s="86" t="str">
        <f>HYPERLINK("https://abs.twimg.com/images/themes/theme1/bg.png")</f>
        <v>https://abs.twimg.com/images/themes/theme1/bg.png</v>
      </c>
      <c r="AX68" s="81" t="b">
        <v>1</v>
      </c>
      <c r="AY68" s="81" t="s">
        <v>1294</v>
      </c>
      <c r="AZ68" s="86" t="str">
        <f>HYPERLINK("https://twitter.com/youarestars")</f>
        <v>https://twitter.com/youarestars</v>
      </c>
      <c r="BA68" s="81" t="s">
        <v>65</v>
      </c>
      <c r="BB68" s="81" t="str">
        <f>REPLACE(INDEX(GroupVertices[Group],MATCH(Vertices[[#This Row],[Vertex]],GroupVertices[Vertex],0)),1,1,"")</f>
        <v>4</v>
      </c>
      <c r="BC68" s="49"/>
      <c r="BD68" s="49"/>
      <c r="BE68" s="49"/>
      <c r="BF68" s="49"/>
      <c r="BG68" s="49"/>
      <c r="BH68" s="49"/>
      <c r="BI68" s="49"/>
      <c r="BJ68" s="49"/>
      <c r="BK68" s="49"/>
      <c r="BL68" s="49"/>
      <c r="BM68" s="49"/>
      <c r="BN68" s="50"/>
      <c r="BO68" s="49"/>
      <c r="BP68" s="50"/>
      <c r="BQ68" s="49"/>
      <c r="BR68" s="50"/>
      <c r="BS68" s="49"/>
      <c r="BT68" s="50"/>
      <c r="BU68" s="49"/>
      <c r="BV68" s="2"/>
      <c r="BW68" s="3"/>
      <c r="BX68" s="3"/>
      <c r="BY68" s="3"/>
      <c r="BZ68" s="3"/>
    </row>
    <row r="69" spans="1:78" ht="41.45" customHeight="1">
      <c r="A69" s="66" t="s">
        <v>323</v>
      </c>
      <c r="C69" s="67"/>
      <c r="D69" s="67" t="s">
        <v>64</v>
      </c>
      <c r="E69" s="68">
        <v>301.0195390287663</v>
      </c>
      <c r="F69" s="70">
        <v>99.2096611581116</v>
      </c>
      <c r="G69" s="105" t="str">
        <f>HYPERLINK("https://pbs.twimg.com/profile_images/1513364113283756032/IB--Qq9Z_normal.jpg")</f>
        <v>https://pbs.twimg.com/profile_images/1513364113283756032/IB--Qq9Z_normal.jpg</v>
      </c>
      <c r="H69" s="67"/>
      <c r="I69" s="71" t="s">
        <v>323</v>
      </c>
      <c r="J69" s="72"/>
      <c r="K69" s="72"/>
      <c r="L69" s="71" t="s">
        <v>1360</v>
      </c>
      <c r="M69" s="75">
        <v>264.39359137333975</v>
      </c>
      <c r="N69" s="76">
        <v>5205.251953125</v>
      </c>
      <c r="O69" s="76">
        <v>8057.64501953125</v>
      </c>
      <c r="P69" s="77"/>
      <c r="Q69" s="78"/>
      <c r="R69" s="78"/>
      <c r="S69" s="91"/>
      <c r="T69" s="49">
        <v>1</v>
      </c>
      <c r="U69" s="49">
        <v>0</v>
      </c>
      <c r="V69" s="50">
        <v>0</v>
      </c>
      <c r="W69" s="50">
        <v>0.028933</v>
      </c>
      <c r="X69" s="50">
        <v>0</v>
      </c>
      <c r="Y69" s="50">
        <v>0.011277</v>
      </c>
      <c r="Z69" s="50">
        <v>0</v>
      </c>
      <c r="AA69" s="50">
        <v>0</v>
      </c>
      <c r="AB69" s="73">
        <v>69</v>
      </c>
      <c r="AC69" s="73"/>
      <c r="AD69" s="74"/>
      <c r="AE69" s="81" t="s">
        <v>1078</v>
      </c>
      <c r="AF69" s="90" t="s">
        <v>1146</v>
      </c>
      <c r="AG69" s="81">
        <v>2490</v>
      </c>
      <c r="AH69" s="81">
        <v>8422</v>
      </c>
      <c r="AI69" s="81">
        <v>20920</v>
      </c>
      <c r="AJ69" s="81">
        <v>1560</v>
      </c>
      <c r="AK69" s="81"/>
      <c r="AL69" s="81" t="s">
        <v>1221</v>
      </c>
      <c r="AM69" s="81" t="s">
        <v>1284</v>
      </c>
      <c r="AN69" s="86" t="str">
        <f>HYPERLINK("https://t.co/DFprQleP7U")</f>
        <v>https://t.co/DFprQleP7U</v>
      </c>
      <c r="AO69" s="81"/>
      <c r="AP69" s="83">
        <v>40764.51626157408</v>
      </c>
      <c r="AQ69" s="86" t="str">
        <f>HYPERLINK("https://pbs.twimg.com/profile_banners/351556755/1586698222")</f>
        <v>https://pbs.twimg.com/profile_banners/351556755/1586698222</v>
      </c>
      <c r="AR69" s="81" t="b">
        <v>0</v>
      </c>
      <c r="AS69" s="81" t="b">
        <v>0</v>
      </c>
      <c r="AT69" s="81" t="b">
        <v>0</v>
      </c>
      <c r="AU69" s="81"/>
      <c r="AV69" s="81">
        <v>145</v>
      </c>
      <c r="AW69" s="86" t="str">
        <f>HYPERLINK("https://abs.twimg.com/images/themes/theme1/bg.png")</f>
        <v>https://abs.twimg.com/images/themes/theme1/bg.png</v>
      </c>
      <c r="AX69" s="81" t="b">
        <v>1</v>
      </c>
      <c r="AY69" s="81" t="s">
        <v>1294</v>
      </c>
      <c r="AZ69" s="86" t="str">
        <f>HYPERLINK("https://twitter.com/torquilcampbell")</f>
        <v>https://twitter.com/torquilcampbell</v>
      </c>
      <c r="BA69" s="81" t="s">
        <v>65</v>
      </c>
      <c r="BB69" s="81" t="str">
        <f>REPLACE(INDEX(GroupVertices[Group],MATCH(Vertices[[#This Row],[Vertex]],GroupVertices[Vertex],0)),1,1,"")</f>
        <v>4</v>
      </c>
      <c r="BC69" s="49"/>
      <c r="BD69" s="49"/>
      <c r="BE69" s="49"/>
      <c r="BF69" s="49"/>
      <c r="BG69" s="49"/>
      <c r="BH69" s="49"/>
      <c r="BI69" s="49"/>
      <c r="BJ69" s="49"/>
      <c r="BK69" s="49"/>
      <c r="BL69" s="49"/>
      <c r="BM69" s="49"/>
      <c r="BN69" s="50"/>
      <c r="BO69" s="49"/>
      <c r="BP69" s="50"/>
      <c r="BQ69" s="49"/>
      <c r="BR69" s="50"/>
      <c r="BS69" s="49"/>
      <c r="BT69" s="50"/>
      <c r="BU69" s="49"/>
      <c r="BV69" s="2"/>
      <c r="BW69" s="3"/>
      <c r="BX69" s="3"/>
      <c r="BY69" s="3"/>
      <c r="BZ69" s="3"/>
    </row>
    <row r="70" spans="1:78" ht="41.45" customHeight="1">
      <c r="A70" s="66" t="s">
        <v>324</v>
      </c>
      <c r="C70" s="67"/>
      <c r="D70" s="67" t="s">
        <v>64</v>
      </c>
      <c r="E70" s="68">
        <v>1000</v>
      </c>
      <c r="F70" s="70">
        <v>73.08602238072277</v>
      </c>
      <c r="G70" s="105" t="str">
        <f>HYPERLINK("https://pbs.twimg.com/profile_images/1058434853551493120/BrytQBzb_normal.jpg")</f>
        <v>https://pbs.twimg.com/profile_images/1058434853551493120/BrytQBzb_normal.jpg</v>
      </c>
      <c r="H70" s="67"/>
      <c r="I70" s="71" t="s">
        <v>324</v>
      </c>
      <c r="J70" s="72"/>
      <c r="K70" s="72"/>
      <c r="L70" s="71" t="s">
        <v>1361</v>
      </c>
      <c r="M70" s="75">
        <v>8970.531607917792</v>
      </c>
      <c r="N70" s="76">
        <v>5888.88720703125</v>
      </c>
      <c r="O70" s="76">
        <v>6282.5576171875</v>
      </c>
      <c r="P70" s="77"/>
      <c r="Q70" s="78"/>
      <c r="R70" s="78"/>
      <c r="S70" s="91"/>
      <c r="T70" s="49">
        <v>1</v>
      </c>
      <c r="U70" s="49">
        <v>0</v>
      </c>
      <c r="V70" s="50">
        <v>0</v>
      </c>
      <c r="W70" s="50">
        <v>0.028933</v>
      </c>
      <c r="X70" s="50">
        <v>0</v>
      </c>
      <c r="Y70" s="50">
        <v>0.011277</v>
      </c>
      <c r="Z70" s="50">
        <v>0</v>
      </c>
      <c r="AA70" s="50">
        <v>0</v>
      </c>
      <c r="AB70" s="73">
        <v>70</v>
      </c>
      <c r="AC70" s="73"/>
      <c r="AD70" s="74"/>
      <c r="AE70" s="81" t="s">
        <v>1079</v>
      </c>
      <c r="AF70" s="90" t="s">
        <v>1147</v>
      </c>
      <c r="AG70" s="81">
        <v>184</v>
      </c>
      <c r="AH70" s="81">
        <v>286536</v>
      </c>
      <c r="AI70" s="81">
        <v>6787</v>
      </c>
      <c r="AJ70" s="81">
        <v>26934</v>
      </c>
      <c r="AK70" s="81"/>
      <c r="AL70" s="81" t="s">
        <v>1222</v>
      </c>
      <c r="AM70" s="81"/>
      <c r="AN70" s="86" t="str">
        <f>HYPERLINK("https://t.co/QElO89VNV8")</f>
        <v>https://t.co/QElO89VNV8</v>
      </c>
      <c r="AO70" s="81"/>
      <c r="AP70" s="83">
        <v>39893.862962962965</v>
      </c>
      <c r="AQ70" s="86" t="str">
        <f>HYPERLINK("https://pbs.twimg.com/profile_banners/25725698/1550590732")</f>
        <v>https://pbs.twimg.com/profile_banners/25725698/1550590732</v>
      </c>
      <c r="AR70" s="81" t="b">
        <v>0</v>
      </c>
      <c r="AS70" s="81" t="b">
        <v>0</v>
      </c>
      <c r="AT70" s="81" t="b">
        <v>0</v>
      </c>
      <c r="AU70" s="81"/>
      <c r="AV70" s="81">
        <v>2758</v>
      </c>
      <c r="AW70" s="86" t="str">
        <f>HYPERLINK("https://abs.twimg.com/images/themes/theme1/bg.png")</f>
        <v>https://abs.twimg.com/images/themes/theme1/bg.png</v>
      </c>
      <c r="AX70" s="81" t="b">
        <v>1</v>
      </c>
      <c r="AY70" s="81" t="s">
        <v>1294</v>
      </c>
      <c r="AZ70" s="86" t="str">
        <f>HYPERLINK("https://twitter.com/scottaukerman")</f>
        <v>https://twitter.com/scottaukerman</v>
      </c>
      <c r="BA70" s="81" t="s">
        <v>65</v>
      </c>
      <c r="BB70" s="81" t="str">
        <f>REPLACE(INDEX(GroupVertices[Group],MATCH(Vertices[[#This Row],[Vertex]],GroupVertices[Vertex],0)),1,1,"")</f>
        <v>4</v>
      </c>
      <c r="BC70" s="49"/>
      <c r="BD70" s="49"/>
      <c r="BE70" s="49"/>
      <c r="BF70" s="49"/>
      <c r="BG70" s="49"/>
      <c r="BH70" s="49"/>
      <c r="BI70" s="49"/>
      <c r="BJ70" s="49"/>
      <c r="BK70" s="49"/>
      <c r="BL70" s="49"/>
      <c r="BM70" s="49"/>
      <c r="BN70" s="50"/>
      <c r="BO70" s="49"/>
      <c r="BP70" s="50"/>
      <c r="BQ70" s="49"/>
      <c r="BR70" s="50"/>
      <c r="BS70" s="49"/>
      <c r="BT70" s="50"/>
      <c r="BU70" s="49"/>
      <c r="BV70" s="2"/>
      <c r="BW70" s="3"/>
      <c r="BX70" s="3"/>
      <c r="BY70" s="3"/>
      <c r="BZ70" s="3"/>
    </row>
    <row r="71" spans="1:78" ht="41.45" customHeight="1">
      <c r="A71" s="66" t="s">
        <v>325</v>
      </c>
      <c r="C71" s="67"/>
      <c r="D71" s="67" t="s">
        <v>64</v>
      </c>
      <c r="E71" s="68">
        <v>165.1557798852501</v>
      </c>
      <c r="F71" s="70">
        <v>99.98205910164005</v>
      </c>
      <c r="G71" s="105" t="str">
        <f>HYPERLINK("https://pbs.twimg.com/profile_images/869744252095299584/gIOdqEYe_normal.jpg")</f>
        <v>https://pbs.twimg.com/profile_images/869744252095299584/gIOdqEYe_normal.jpg</v>
      </c>
      <c r="H71" s="67"/>
      <c r="I71" s="71" t="s">
        <v>325</v>
      </c>
      <c r="J71" s="72"/>
      <c r="K71" s="72"/>
      <c r="L71" s="71" t="s">
        <v>1362</v>
      </c>
      <c r="M71" s="75">
        <v>6.979103393428559</v>
      </c>
      <c r="N71" s="76">
        <v>5959.20654296875</v>
      </c>
      <c r="O71" s="76">
        <v>9667.1748046875</v>
      </c>
      <c r="P71" s="77"/>
      <c r="Q71" s="78"/>
      <c r="R71" s="78"/>
      <c r="S71" s="91"/>
      <c r="T71" s="49">
        <v>1</v>
      </c>
      <c r="U71" s="49">
        <v>0</v>
      </c>
      <c r="V71" s="50">
        <v>0</v>
      </c>
      <c r="W71" s="50">
        <v>0.028933</v>
      </c>
      <c r="X71" s="50">
        <v>0</v>
      </c>
      <c r="Y71" s="50">
        <v>0.011277</v>
      </c>
      <c r="Z71" s="50">
        <v>0</v>
      </c>
      <c r="AA71" s="50">
        <v>0</v>
      </c>
      <c r="AB71" s="73">
        <v>71</v>
      </c>
      <c r="AC71" s="73"/>
      <c r="AD71" s="74"/>
      <c r="AE71" s="81" t="s">
        <v>1080</v>
      </c>
      <c r="AF71" s="90" t="s">
        <v>968</v>
      </c>
      <c r="AG71" s="81">
        <v>1024</v>
      </c>
      <c r="AH71" s="81">
        <v>199</v>
      </c>
      <c r="AI71" s="81">
        <v>9906</v>
      </c>
      <c r="AJ71" s="81">
        <v>77103</v>
      </c>
      <c r="AK71" s="81"/>
      <c r="AL71" s="81" t="s">
        <v>1223</v>
      </c>
      <c r="AM71" s="81" t="s">
        <v>1285</v>
      </c>
      <c r="AN71" s="81"/>
      <c r="AO71" s="81"/>
      <c r="AP71" s="83">
        <v>40295.87648148148</v>
      </c>
      <c r="AQ71" s="86" t="str">
        <f>HYPERLINK("https://pbs.twimg.com/profile_banners/137812456/1407253679")</f>
        <v>https://pbs.twimg.com/profile_banners/137812456/1407253679</v>
      </c>
      <c r="AR71" s="81" t="b">
        <v>0</v>
      </c>
      <c r="AS71" s="81" t="b">
        <v>0</v>
      </c>
      <c r="AT71" s="81" t="b">
        <v>1</v>
      </c>
      <c r="AU71" s="81"/>
      <c r="AV71" s="81">
        <v>10</v>
      </c>
      <c r="AW71" s="86" t="str">
        <f>HYPERLINK("https://abs.twimg.com/images/themes/theme14/bg.gif")</f>
        <v>https://abs.twimg.com/images/themes/theme14/bg.gif</v>
      </c>
      <c r="AX71" s="81" t="b">
        <v>0</v>
      </c>
      <c r="AY71" s="81" t="s">
        <v>1294</v>
      </c>
      <c r="AZ71" s="86" t="str">
        <f>HYPERLINK("https://twitter.com/myrealnameisdj")</f>
        <v>https://twitter.com/myrealnameisdj</v>
      </c>
      <c r="BA71" s="81" t="s">
        <v>65</v>
      </c>
      <c r="BB71" s="81" t="str">
        <f>REPLACE(INDEX(GroupVertices[Group],MATCH(Vertices[[#This Row],[Vertex]],GroupVertices[Vertex],0)),1,1,"")</f>
        <v>4</v>
      </c>
      <c r="BC71" s="49"/>
      <c r="BD71" s="49"/>
      <c r="BE71" s="49"/>
      <c r="BF71" s="49"/>
      <c r="BG71" s="49"/>
      <c r="BH71" s="49"/>
      <c r="BI71" s="49"/>
      <c r="BJ71" s="49"/>
      <c r="BK71" s="49"/>
      <c r="BL71" s="49"/>
      <c r="BM71" s="49"/>
      <c r="BN71" s="50"/>
      <c r="BO71" s="49"/>
      <c r="BP71" s="50"/>
      <c r="BQ71" s="49"/>
      <c r="BR71" s="50"/>
      <c r="BS71" s="49"/>
      <c r="BT71" s="50"/>
      <c r="BU71" s="49"/>
      <c r="BV71" s="2"/>
      <c r="BW71" s="3"/>
      <c r="BX71" s="3"/>
      <c r="BY71" s="3"/>
      <c r="BZ71" s="3"/>
    </row>
    <row r="72" spans="1:78" ht="41.45" customHeight="1">
      <c r="A72" s="66" t="s">
        <v>297</v>
      </c>
      <c r="C72" s="67"/>
      <c r="D72" s="67" t="s">
        <v>64</v>
      </c>
      <c r="E72" s="68">
        <v>167.55152901279598</v>
      </c>
      <c r="F72" s="70">
        <v>99.96843904791127</v>
      </c>
      <c r="G72" s="105" t="str">
        <f>HYPERLINK("https://pbs.twimg.com/profile_images/1315198508325122048/Sbg0SlGw_normal.jpg")</f>
        <v>https://pbs.twimg.com/profile_images/1315198508325122048/Sbg0SlGw_normal.jpg</v>
      </c>
      <c r="H72" s="67"/>
      <c r="I72" s="71" t="s">
        <v>297</v>
      </c>
      <c r="J72" s="72"/>
      <c r="K72" s="72"/>
      <c r="L72" s="71" t="s">
        <v>1363</v>
      </c>
      <c r="M72" s="75">
        <v>11.518213299434533</v>
      </c>
      <c r="N72" s="76">
        <v>5044.92578125</v>
      </c>
      <c r="O72" s="76">
        <v>6371.04443359375</v>
      </c>
      <c r="P72" s="77"/>
      <c r="Q72" s="78"/>
      <c r="R72" s="78"/>
      <c r="S72" s="91"/>
      <c r="T72" s="49">
        <v>0</v>
      </c>
      <c r="U72" s="49">
        <v>1</v>
      </c>
      <c r="V72" s="50">
        <v>0</v>
      </c>
      <c r="W72" s="50">
        <v>0.028769</v>
      </c>
      <c r="X72" s="50">
        <v>0</v>
      </c>
      <c r="Y72" s="50">
        <v>0.011322</v>
      </c>
      <c r="Z72" s="50">
        <v>0</v>
      </c>
      <c r="AA72" s="50">
        <v>0</v>
      </c>
      <c r="AB72" s="73">
        <v>72</v>
      </c>
      <c r="AC72" s="73"/>
      <c r="AD72" s="74"/>
      <c r="AE72" s="81" t="s">
        <v>1081</v>
      </c>
      <c r="AF72" s="90" t="s">
        <v>1148</v>
      </c>
      <c r="AG72" s="81">
        <v>412</v>
      </c>
      <c r="AH72" s="81">
        <v>344</v>
      </c>
      <c r="AI72" s="81">
        <v>19746</v>
      </c>
      <c r="AJ72" s="81">
        <v>8436</v>
      </c>
      <c r="AK72" s="81"/>
      <c r="AL72" s="81" t="s">
        <v>1224</v>
      </c>
      <c r="AM72" s="81" t="s">
        <v>1286</v>
      </c>
      <c r="AN72" s="81"/>
      <c r="AO72" s="81"/>
      <c r="AP72" s="83">
        <v>40978.62615740741</v>
      </c>
      <c r="AQ72" s="86" t="str">
        <f>HYPERLINK("https://pbs.twimg.com/profile_banners/520466885/1651180514")</f>
        <v>https://pbs.twimg.com/profile_banners/520466885/1651180514</v>
      </c>
      <c r="AR72" s="81" t="b">
        <v>0</v>
      </c>
      <c r="AS72" s="81" t="b">
        <v>0</v>
      </c>
      <c r="AT72" s="81" t="b">
        <v>0</v>
      </c>
      <c r="AU72" s="81"/>
      <c r="AV72" s="81">
        <v>2</v>
      </c>
      <c r="AW72" s="86" t="str">
        <f>HYPERLINK("https://abs.twimg.com/images/themes/theme1/bg.png")</f>
        <v>https://abs.twimg.com/images/themes/theme1/bg.png</v>
      </c>
      <c r="AX72" s="81" t="b">
        <v>0</v>
      </c>
      <c r="AY72" s="81" t="s">
        <v>1294</v>
      </c>
      <c r="AZ72" s="86" t="str">
        <f>HYPERLINK("https://twitter.com/disgracelands9")</f>
        <v>https://twitter.com/disgracelands9</v>
      </c>
      <c r="BA72" s="81" t="s">
        <v>66</v>
      </c>
      <c r="BB72" s="81" t="str">
        <f>REPLACE(INDEX(GroupVertices[Group],MATCH(Vertices[[#This Row],[Vertex]],GroupVertices[Vertex],0)),1,1,"")</f>
        <v>3</v>
      </c>
      <c r="BC72" s="49"/>
      <c r="BD72" s="49"/>
      <c r="BE72" s="49"/>
      <c r="BF72" s="49"/>
      <c r="BG72" s="49"/>
      <c r="BH72" s="49"/>
      <c r="BI72" s="112" t="s">
        <v>1730</v>
      </c>
      <c r="BJ72" s="112" t="s">
        <v>1730</v>
      </c>
      <c r="BK72" s="112" t="s">
        <v>1772</v>
      </c>
      <c r="BL72" s="112" t="s">
        <v>1772</v>
      </c>
      <c r="BM72" s="112">
        <v>0</v>
      </c>
      <c r="BN72" s="115">
        <v>0</v>
      </c>
      <c r="BO72" s="112">
        <v>0</v>
      </c>
      <c r="BP72" s="115">
        <v>0</v>
      </c>
      <c r="BQ72" s="112">
        <v>0</v>
      </c>
      <c r="BR72" s="115">
        <v>0</v>
      </c>
      <c r="BS72" s="112">
        <v>7</v>
      </c>
      <c r="BT72" s="115">
        <v>100</v>
      </c>
      <c r="BU72" s="112">
        <v>7</v>
      </c>
      <c r="BV72" s="2"/>
      <c r="BW72" s="3"/>
      <c r="BX72" s="3"/>
      <c r="BY72" s="3"/>
      <c r="BZ72" s="3"/>
    </row>
    <row r="73" spans="1:78" ht="41.45" customHeight="1">
      <c r="A73" s="66" t="s">
        <v>298</v>
      </c>
      <c r="C73" s="67"/>
      <c r="D73" s="67" t="s">
        <v>64</v>
      </c>
      <c r="E73" s="68">
        <v>163.96616652536525</v>
      </c>
      <c r="F73" s="70">
        <v>99.98882216280191</v>
      </c>
      <c r="G73" s="105" t="str">
        <f>HYPERLINK("https://pbs.twimg.com/profile_images/1462847719425335296/G1zYxigI_normal.jpg")</f>
        <v>https://pbs.twimg.com/profile_images/1462847719425335296/G1zYxigI_normal.jpg</v>
      </c>
      <c r="H73" s="67"/>
      <c r="I73" s="71" t="s">
        <v>298</v>
      </c>
      <c r="J73" s="72"/>
      <c r="K73" s="72"/>
      <c r="L73" s="71" t="s">
        <v>1364</v>
      </c>
      <c r="M73" s="75">
        <v>4.725200543549731</v>
      </c>
      <c r="N73" s="76">
        <v>8016.30126953125</v>
      </c>
      <c r="O73" s="76">
        <v>2422.32421875</v>
      </c>
      <c r="P73" s="77"/>
      <c r="Q73" s="78"/>
      <c r="R73" s="78"/>
      <c r="S73" s="91"/>
      <c r="T73" s="49">
        <v>0</v>
      </c>
      <c r="U73" s="49">
        <v>1</v>
      </c>
      <c r="V73" s="50">
        <v>0</v>
      </c>
      <c r="W73" s="50">
        <v>0.012658</v>
      </c>
      <c r="X73" s="50">
        <v>0</v>
      </c>
      <c r="Y73" s="50">
        <v>0.0125</v>
      </c>
      <c r="Z73" s="50">
        <v>0</v>
      </c>
      <c r="AA73" s="50">
        <v>0</v>
      </c>
      <c r="AB73" s="73">
        <v>73</v>
      </c>
      <c r="AC73" s="73"/>
      <c r="AD73" s="74"/>
      <c r="AE73" s="81" t="s">
        <v>1082</v>
      </c>
      <c r="AF73" s="90" t="s">
        <v>1149</v>
      </c>
      <c r="AG73" s="81">
        <v>991</v>
      </c>
      <c r="AH73" s="81">
        <v>127</v>
      </c>
      <c r="AI73" s="81">
        <v>13779</v>
      </c>
      <c r="AJ73" s="81">
        <v>46333</v>
      </c>
      <c r="AK73" s="81"/>
      <c r="AL73" s="81" t="s">
        <v>1225</v>
      </c>
      <c r="AM73" s="81" t="s">
        <v>1287</v>
      </c>
      <c r="AN73" s="86" t="str">
        <f>HYPERLINK("https://t.co/qP8q3arvsY")</f>
        <v>https://t.co/qP8q3arvsY</v>
      </c>
      <c r="AO73" s="81"/>
      <c r="AP73" s="83">
        <v>44004.941400462965</v>
      </c>
      <c r="AQ73" s="86" t="str">
        <f>HYPERLINK("https://pbs.twimg.com/profile_banners/1275195699626422273/1637600521")</f>
        <v>https://pbs.twimg.com/profile_banners/1275195699626422273/1637600521</v>
      </c>
      <c r="AR73" s="81" t="b">
        <v>1</v>
      </c>
      <c r="AS73" s="81" t="b">
        <v>0</v>
      </c>
      <c r="AT73" s="81" t="b">
        <v>1</v>
      </c>
      <c r="AU73" s="81"/>
      <c r="AV73" s="81">
        <v>0</v>
      </c>
      <c r="AW73" s="81"/>
      <c r="AX73" s="81" t="b">
        <v>0</v>
      </c>
      <c r="AY73" s="81" t="s">
        <v>1294</v>
      </c>
      <c r="AZ73" s="86" t="str">
        <f>HYPERLINK("https://twitter.com/peanutpower4")</f>
        <v>https://twitter.com/peanutpower4</v>
      </c>
      <c r="BA73" s="81" t="s">
        <v>66</v>
      </c>
      <c r="BB73" s="81" t="str">
        <f>REPLACE(INDEX(GroupVertices[Group],MATCH(Vertices[[#This Row],[Vertex]],GroupVertices[Vertex],0)),1,1,"")</f>
        <v>13</v>
      </c>
      <c r="BC73" s="49"/>
      <c r="BD73" s="49"/>
      <c r="BE73" s="49"/>
      <c r="BF73" s="49"/>
      <c r="BG73" s="49"/>
      <c r="BH73" s="49"/>
      <c r="BI73" s="112" t="s">
        <v>1731</v>
      </c>
      <c r="BJ73" s="112" t="s">
        <v>1731</v>
      </c>
      <c r="BK73" s="112" t="s">
        <v>1773</v>
      </c>
      <c r="BL73" s="112" t="s">
        <v>1773</v>
      </c>
      <c r="BM73" s="112">
        <v>2</v>
      </c>
      <c r="BN73" s="115">
        <v>4.444444444444445</v>
      </c>
      <c r="BO73" s="112">
        <v>0</v>
      </c>
      <c r="BP73" s="115">
        <v>0</v>
      </c>
      <c r="BQ73" s="112">
        <v>0</v>
      </c>
      <c r="BR73" s="115">
        <v>0</v>
      </c>
      <c r="BS73" s="112">
        <v>43</v>
      </c>
      <c r="BT73" s="115">
        <v>95.55555555555556</v>
      </c>
      <c r="BU73" s="112">
        <v>45</v>
      </c>
      <c r="BV73" s="2"/>
      <c r="BW73" s="3"/>
      <c r="BX73" s="3"/>
      <c r="BY73" s="3"/>
      <c r="BZ73" s="3"/>
    </row>
    <row r="74" spans="1:78" ht="41.45" customHeight="1">
      <c r="A74" s="66" t="s">
        <v>326</v>
      </c>
      <c r="C74" s="67"/>
      <c r="D74" s="67" t="s">
        <v>64</v>
      </c>
      <c r="E74" s="68">
        <v>214.12819653384332</v>
      </c>
      <c r="F74" s="70">
        <v>99.7036464171431</v>
      </c>
      <c r="G74" s="105" t="str">
        <f>HYPERLINK("https://pbs.twimg.com/profile_images/1482316508684554241/v4USZ5ZZ_normal.jpg")</f>
        <v>https://pbs.twimg.com/profile_images/1482316508684554241/v4USZ5ZZ_normal.jpg</v>
      </c>
      <c r="H74" s="67"/>
      <c r="I74" s="71" t="s">
        <v>326</v>
      </c>
      <c r="J74" s="72"/>
      <c r="K74" s="72"/>
      <c r="L74" s="71" t="s">
        <v>1365</v>
      </c>
      <c r="M74" s="75">
        <v>99.76477071344033</v>
      </c>
      <c r="N74" s="76">
        <v>8016.30126953125</v>
      </c>
      <c r="O74" s="76">
        <v>1028.658203125</v>
      </c>
      <c r="P74" s="77"/>
      <c r="Q74" s="78"/>
      <c r="R74" s="78"/>
      <c r="S74" s="91"/>
      <c r="T74" s="49">
        <v>1</v>
      </c>
      <c r="U74" s="49">
        <v>0</v>
      </c>
      <c r="V74" s="50">
        <v>0</v>
      </c>
      <c r="W74" s="50">
        <v>0.012658</v>
      </c>
      <c r="X74" s="50">
        <v>0</v>
      </c>
      <c r="Y74" s="50">
        <v>0.0125</v>
      </c>
      <c r="Z74" s="50">
        <v>0</v>
      </c>
      <c r="AA74" s="50">
        <v>0</v>
      </c>
      <c r="AB74" s="73">
        <v>74</v>
      </c>
      <c r="AC74" s="73"/>
      <c r="AD74" s="74"/>
      <c r="AE74" s="81" t="s">
        <v>1083</v>
      </c>
      <c r="AF74" s="90" t="s">
        <v>969</v>
      </c>
      <c r="AG74" s="81">
        <v>3428</v>
      </c>
      <c r="AH74" s="81">
        <v>3163</v>
      </c>
      <c r="AI74" s="81">
        <v>26400</v>
      </c>
      <c r="AJ74" s="81">
        <v>32981</v>
      </c>
      <c r="AK74" s="81"/>
      <c r="AL74" s="81" t="s">
        <v>1226</v>
      </c>
      <c r="AM74" s="81" t="s">
        <v>1288</v>
      </c>
      <c r="AN74" s="81"/>
      <c r="AO74" s="81"/>
      <c r="AP74" s="83">
        <v>42156.90490740741</v>
      </c>
      <c r="AQ74" s="86" t="str">
        <f>HYPERLINK("https://pbs.twimg.com/profile_banners/3305993559/1433842605")</f>
        <v>https://pbs.twimg.com/profile_banners/3305993559/1433842605</v>
      </c>
      <c r="AR74" s="81" t="b">
        <v>1</v>
      </c>
      <c r="AS74" s="81" t="b">
        <v>0</v>
      </c>
      <c r="AT74" s="81" t="b">
        <v>1</v>
      </c>
      <c r="AU74" s="81"/>
      <c r="AV74" s="81">
        <v>6</v>
      </c>
      <c r="AW74" s="86" t="str">
        <f>HYPERLINK("https://abs.twimg.com/images/themes/theme1/bg.png")</f>
        <v>https://abs.twimg.com/images/themes/theme1/bg.png</v>
      </c>
      <c r="AX74" s="81" t="b">
        <v>0</v>
      </c>
      <c r="AY74" s="81" t="s">
        <v>1294</v>
      </c>
      <c r="AZ74" s="86" t="str">
        <f>HYPERLINK("https://twitter.com/brian_mccaul")</f>
        <v>https://twitter.com/brian_mccaul</v>
      </c>
      <c r="BA74" s="81" t="s">
        <v>65</v>
      </c>
      <c r="BB74" s="81" t="str">
        <f>REPLACE(INDEX(GroupVertices[Group],MATCH(Vertices[[#This Row],[Vertex]],GroupVertices[Vertex],0)),1,1,"")</f>
        <v>13</v>
      </c>
      <c r="BC74" s="49"/>
      <c r="BD74" s="49"/>
      <c r="BE74" s="49"/>
      <c r="BF74" s="49"/>
      <c r="BG74" s="49"/>
      <c r="BH74" s="49"/>
      <c r="BI74" s="49"/>
      <c r="BJ74" s="49"/>
      <c r="BK74" s="49"/>
      <c r="BL74" s="49"/>
      <c r="BM74" s="49"/>
      <c r="BN74" s="50"/>
      <c r="BO74" s="49"/>
      <c r="BP74" s="50"/>
      <c r="BQ74" s="49"/>
      <c r="BR74" s="50"/>
      <c r="BS74" s="49"/>
      <c r="BT74" s="50"/>
      <c r="BU74" s="49"/>
      <c r="BV74" s="2"/>
      <c r="BW74" s="3"/>
      <c r="BX74" s="3"/>
      <c r="BY74" s="3"/>
      <c r="BZ74" s="3"/>
    </row>
    <row r="75" spans="1:78" ht="41.45" customHeight="1">
      <c r="A75" s="66" t="s">
        <v>300</v>
      </c>
      <c r="C75" s="67"/>
      <c r="D75" s="67" t="s">
        <v>64</v>
      </c>
      <c r="E75" s="68">
        <v>164.8418541375027</v>
      </c>
      <c r="F75" s="70">
        <v>99.98384379833554</v>
      </c>
      <c r="G75" s="105" t="str">
        <f>HYPERLINK("https://pbs.twimg.com/profile_images/1518658233078099968/YzZ16g0L_normal.jpg")</f>
        <v>https://pbs.twimg.com/profile_images/1518658233078099968/YzZ16g0L_normal.jpg</v>
      </c>
      <c r="H75" s="67"/>
      <c r="I75" s="71" t="s">
        <v>300</v>
      </c>
      <c r="J75" s="72"/>
      <c r="K75" s="72"/>
      <c r="L75" s="71" t="s">
        <v>1366</v>
      </c>
      <c r="M75" s="75">
        <v>6.384323474710535</v>
      </c>
      <c r="N75" s="76">
        <v>8760.4814453125</v>
      </c>
      <c r="O75" s="76">
        <v>9191.55859375</v>
      </c>
      <c r="P75" s="77"/>
      <c r="Q75" s="78"/>
      <c r="R75" s="78"/>
      <c r="S75" s="91"/>
      <c r="T75" s="49">
        <v>0</v>
      </c>
      <c r="U75" s="49">
        <v>1</v>
      </c>
      <c r="V75" s="50">
        <v>0</v>
      </c>
      <c r="W75" s="50">
        <v>0.016878</v>
      </c>
      <c r="X75" s="50">
        <v>0</v>
      </c>
      <c r="Y75" s="50">
        <v>0.011364</v>
      </c>
      <c r="Z75" s="50">
        <v>0</v>
      </c>
      <c r="AA75" s="50">
        <v>0</v>
      </c>
      <c r="AB75" s="73">
        <v>75</v>
      </c>
      <c r="AC75" s="73"/>
      <c r="AD75" s="74"/>
      <c r="AE75" s="81" t="s">
        <v>1084</v>
      </c>
      <c r="AF75" s="90" t="s">
        <v>1150</v>
      </c>
      <c r="AG75" s="81">
        <v>2179</v>
      </c>
      <c r="AH75" s="81">
        <v>180</v>
      </c>
      <c r="AI75" s="81">
        <v>3197</v>
      </c>
      <c r="AJ75" s="81">
        <v>1300</v>
      </c>
      <c r="AK75" s="81"/>
      <c r="AL75" s="81" t="s">
        <v>1227</v>
      </c>
      <c r="AM75" s="81"/>
      <c r="AN75" s="81"/>
      <c r="AO75" s="81"/>
      <c r="AP75" s="83">
        <v>44557.65350694444</v>
      </c>
      <c r="AQ75" s="81"/>
      <c r="AR75" s="81" t="b">
        <v>1</v>
      </c>
      <c r="AS75" s="81" t="b">
        <v>0</v>
      </c>
      <c r="AT75" s="81" t="b">
        <v>0</v>
      </c>
      <c r="AU75" s="81"/>
      <c r="AV75" s="81">
        <v>0</v>
      </c>
      <c r="AW75" s="81"/>
      <c r="AX75" s="81" t="b">
        <v>0</v>
      </c>
      <c r="AY75" s="81" t="s">
        <v>1294</v>
      </c>
      <c r="AZ75" s="86" t="str">
        <f>HYPERLINK("https://twitter.com/cartrell_payne")</f>
        <v>https://twitter.com/cartrell_payne</v>
      </c>
      <c r="BA75" s="81" t="s">
        <v>66</v>
      </c>
      <c r="BB75" s="81" t="str">
        <f>REPLACE(INDEX(GroupVertices[Group],MATCH(Vertices[[#This Row],[Vertex]],GroupVertices[Vertex],0)),1,1,"")</f>
        <v>9</v>
      </c>
      <c r="BC75" s="49"/>
      <c r="BD75" s="49"/>
      <c r="BE75" s="49"/>
      <c r="BF75" s="49"/>
      <c r="BG75" s="49"/>
      <c r="BH75" s="49"/>
      <c r="BI75" s="112" t="s">
        <v>1554</v>
      </c>
      <c r="BJ75" s="112" t="s">
        <v>1554</v>
      </c>
      <c r="BK75" s="112" t="s">
        <v>1626</v>
      </c>
      <c r="BL75" s="112" t="s">
        <v>1626</v>
      </c>
      <c r="BM75" s="112">
        <v>3</v>
      </c>
      <c r="BN75" s="115">
        <v>10.714285714285714</v>
      </c>
      <c r="BO75" s="112">
        <v>1</v>
      </c>
      <c r="BP75" s="115">
        <v>3.5714285714285716</v>
      </c>
      <c r="BQ75" s="112">
        <v>0</v>
      </c>
      <c r="BR75" s="115">
        <v>0</v>
      </c>
      <c r="BS75" s="112">
        <v>24</v>
      </c>
      <c r="BT75" s="115">
        <v>85.71428571428571</v>
      </c>
      <c r="BU75" s="112">
        <v>28</v>
      </c>
      <c r="BV75" s="2"/>
      <c r="BW75" s="3"/>
      <c r="BX75" s="3"/>
      <c r="BY75" s="3"/>
      <c r="BZ75" s="3"/>
    </row>
    <row r="76" spans="1:78" ht="41.45" customHeight="1">
      <c r="A76" s="66" t="s">
        <v>301</v>
      </c>
      <c r="C76" s="67"/>
      <c r="D76" s="67" t="s">
        <v>64</v>
      </c>
      <c r="E76" s="68">
        <v>814.0733452946628</v>
      </c>
      <c r="F76" s="70">
        <v>96.2929031692456</v>
      </c>
      <c r="G76" s="105" t="str">
        <f>HYPERLINK("https://pbs.twimg.com/profile_images/1538050811741208577/pc_pzx2w_normal.jpg")</f>
        <v>https://pbs.twimg.com/profile_images/1538050811741208577/pc_pzx2w_normal.jpg</v>
      </c>
      <c r="H76" s="67"/>
      <c r="I76" s="71" t="s">
        <v>301</v>
      </c>
      <c r="J76" s="72"/>
      <c r="K76" s="72"/>
      <c r="L76" s="71" t="s">
        <v>1367</v>
      </c>
      <c r="M76" s="75">
        <v>1236.451803796081</v>
      </c>
      <c r="N76" s="76">
        <v>8206.0205078125</v>
      </c>
      <c r="O76" s="76">
        <v>3890.650634765625</v>
      </c>
      <c r="P76" s="77"/>
      <c r="Q76" s="78"/>
      <c r="R76" s="78"/>
      <c r="S76" s="91"/>
      <c r="T76" s="49">
        <v>0</v>
      </c>
      <c r="U76" s="49">
        <v>1</v>
      </c>
      <c r="V76" s="50">
        <v>0</v>
      </c>
      <c r="W76" s="50">
        <v>0.012658</v>
      </c>
      <c r="X76" s="50">
        <v>0</v>
      </c>
      <c r="Y76" s="50">
        <v>0.0125</v>
      </c>
      <c r="Z76" s="50">
        <v>0</v>
      </c>
      <c r="AA76" s="50">
        <v>0</v>
      </c>
      <c r="AB76" s="73">
        <v>76</v>
      </c>
      <c r="AC76" s="73"/>
      <c r="AD76" s="74"/>
      <c r="AE76" s="81" t="s">
        <v>1085</v>
      </c>
      <c r="AF76" s="90" t="s">
        <v>1151</v>
      </c>
      <c r="AG76" s="81">
        <v>999</v>
      </c>
      <c r="AH76" s="81">
        <v>39474</v>
      </c>
      <c r="AI76" s="81">
        <v>64119</v>
      </c>
      <c r="AJ76" s="81">
        <v>162622</v>
      </c>
      <c r="AK76" s="81"/>
      <c r="AL76" s="81" t="s">
        <v>1228</v>
      </c>
      <c r="AM76" s="81" t="s">
        <v>1289</v>
      </c>
      <c r="AN76" s="86" t="str">
        <f>HYPERLINK("https://t.co/oFxFRCmdbY")</f>
        <v>https://t.co/oFxFRCmdbY</v>
      </c>
      <c r="AO76" s="81"/>
      <c r="AP76" s="83">
        <v>40755.15762731482</v>
      </c>
      <c r="AQ76" s="86" t="str">
        <f>HYPERLINK("https://pbs.twimg.com/profile_banners/345758163/1655386704")</f>
        <v>https://pbs.twimg.com/profile_banners/345758163/1655386704</v>
      </c>
      <c r="AR76" s="81" t="b">
        <v>0</v>
      </c>
      <c r="AS76" s="81" t="b">
        <v>0</v>
      </c>
      <c r="AT76" s="81" t="b">
        <v>1</v>
      </c>
      <c r="AU76" s="81"/>
      <c r="AV76" s="81">
        <v>482</v>
      </c>
      <c r="AW76" s="86" t="str">
        <f>HYPERLINK("https://abs.twimg.com/images/themes/theme1/bg.png")</f>
        <v>https://abs.twimg.com/images/themes/theme1/bg.png</v>
      </c>
      <c r="AX76" s="81" t="b">
        <v>0</v>
      </c>
      <c r="AY76" s="81" t="s">
        <v>1294</v>
      </c>
      <c r="AZ76" s="86" t="str">
        <f>HYPERLINK("https://twitter.com/vec0zy")</f>
        <v>https://twitter.com/vec0zy</v>
      </c>
      <c r="BA76" s="81" t="s">
        <v>66</v>
      </c>
      <c r="BB76" s="81" t="str">
        <f>REPLACE(INDEX(GroupVertices[Group],MATCH(Vertices[[#This Row],[Vertex]],GroupVertices[Vertex],0)),1,1,"")</f>
        <v>12</v>
      </c>
      <c r="BC76" s="49"/>
      <c r="BD76" s="49"/>
      <c r="BE76" s="49"/>
      <c r="BF76" s="49"/>
      <c r="BG76" s="49"/>
      <c r="BH76" s="49"/>
      <c r="BI76" s="112" t="s">
        <v>1732</v>
      </c>
      <c r="BJ76" s="112" t="s">
        <v>1732</v>
      </c>
      <c r="BK76" s="112" t="s">
        <v>1774</v>
      </c>
      <c r="BL76" s="112" t="s">
        <v>1774</v>
      </c>
      <c r="BM76" s="112">
        <v>0</v>
      </c>
      <c r="BN76" s="115">
        <v>0</v>
      </c>
      <c r="BO76" s="112">
        <v>0</v>
      </c>
      <c r="BP76" s="115">
        <v>0</v>
      </c>
      <c r="BQ76" s="112">
        <v>0</v>
      </c>
      <c r="BR76" s="115">
        <v>0</v>
      </c>
      <c r="BS76" s="112">
        <v>4</v>
      </c>
      <c r="BT76" s="115">
        <v>100</v>
      </c>
      <c r="BU76" s="112">
        <v>4</v>
      </c>
      <c r="BV76" s="2"/>
      <c r="BW76" s="3"/>
      <c r="BX76" s="3"/>
      <c r="BY76" s="3"/>
      <c r="BZ76" s="3"/>
    </row>
    <row r="77" spans="1:78" ht="41.45" customHeight="1">
      <c r="A77" s="66" t="s">
        <v>327</v>
      </c>
      <c r="C77" s="67"/>
      <c r="D77" s="67" t="s">
        <v>64</v>
      </c>
      <c r="E77" s="68">
        <v>519.1153216743232</v>
      </c>
      <c r="F77" s="70">
        <v>97.96976661176897</v>
      </c>
      <c r="G77" s="105" t="str">
        <f>HYPERLINK("https://pbs.twimg.com/profile_images/1536445758907551748/XDaoGFpF_normal.jpg")</f>
        <v>https://pbs.twimg.com/profile_images/1536445758907551748/XDaoGFpF_normal.jpg</v>
      </c>
      <c r="H77" s="67"/>
      <c r="I77" s="71" t="s">
        <v>327</v>
      </c>
      <c r="J77" s="72"/>
      <c r="K77" s="72"/>
      <c r="L77" s="71" t="s">
        <v>1368</v>
      </c>
      <c r="M77" s="75">
        <v>677.609113851125</v>
      </c>
      <c r="N77" s="76">
        <v>8206.0205078125</v>
      </c>
      <c r="O77" s="76">
        <v>4769.98779296875</v>
      </c>
      <c r="P77" s="77"/>
      <c r="Q77" s="78"/>
      <c r="R77" s="78"/>
      <c r="S77" s="91"/>
      <c r="T77" s="49">
        <v>1</v>
      </c>
      <c r="U77" s="49">
        <v>0</v>
      </c>
      <c r="V77" s="50">
        <v>0</v>
      </c>
      <c r="W77" s="50">
        <v>0.012658</v>
      </c>
      <c r="X77" s="50">
        <v>0</v>
      </c>
      <c r="Y77" s="50">
        <v>0.0125</v>
      </c>
      <c r="Z77" s="50">
        <v>0</v>
      </c>
      <c r="AA77" s="50">
        <v>0</v>
      </c>
      <c r="AB77" s="73">
        <v>77</v>
      </c>
      <c r="AC77" s="73"/>
      <c r="AD77" s="74"/>
      <c r="AE77" s="81" t="s">
        <v>1086</v>
      </c>
      <c r="AF77" s="90" t="s">
        <v>971</v>
      </c>
      <c r="AG77" s="81">
        <v>614</v>
      </c>
      <c r="AH77" s="81">
        <v>21622</v>
      </c>
      <c r="AI77" s="81">
        <v>10132</v>
      </c>
      <c r="AJ77" s="81">
        <v>15540</v>
      </c>
      <c r="AK77" s="81"/>
      <c r="AL77" s="81" t="s">
        <v>1229</v>
      </c>
      <c r="AM77" s="81"/>
      <c r="AN77" s="86" t="str">
        <f>HYPERLINK("https://t.co/FwiFWvv6qQ")</f>
        <v>https://t.co/FwiFWvv6qQ</v>
      </c>
      <c r="AO77" s="81"/>
      <c r="AP77" s="83">
        <v>44608.943506944444</v>
      </c>
      <c r="AQ77" s="86" t="str">
        <f>HYPERLINK("https://pbs.twimg.com/profile_banners/1494078777281941510/1650134850")</f>
        <v>https://pbs.twimg.com/profile_banners/1494078777281941510/1650134850</v>
      </c>
      <c r="AR77" s="81" t="b">
        <v>1</v>
      </c>
      <c r="AS77" s="81" t="b">
        <v>0</v>
      </c>
      <c r="AT77" s="81" t="b">
        <v>0</v>
      </c>
      <c r="AU77" s="81"/>
      <c r="AV77" s="81">
        <v>271</v>
      </c>
      <c r="AW77" s="81"/>
      <c r="AX77" s="81" t="b">
        <v>0</v>
      </c>
      <c r="AY77" s="81" t="s">
        <v>1294</v>
      </c>
      <c r="AZ77" s="86" t="str">
        <f>HYPERLINK("https://twitter.com/chubbicorn219")</f>
        <v>https://twitter.com/chubbicorn219</v>
      </c>
      <c r="BA77" s="81" t="s">
        <v>65</v>
      </c>
      <c r="BB77" s="81" t="str">
        <f>REPLACE(INDEX(GroupVertices[Group],MATCH(Vertices[[#This Row],[Vertex]],GroupVertices[Vertex],0)),1,1,"")</f>
        <v>12</v>
      </c>
      <c r="BC77" s="49"/>
      <c r="BD77" s="49"/>
      <c r="BE77" s="49"/>
      <c r="BF77" s="49"/>
      <c r="BG77" s="49"/>
      <c r="BH77" s="49"/>
      <c r="BI77" s="49"/>
      <c r="BJ77" s="49"/>
      <c r="BK77" s="49"/>
      <c r="BL77" s="49"/>
      <c r="BM77" s="49"/>
      <c r="BN77" s="50"/>
      <c r="BO77" s="49"/>
      <c r="BP77" s="50"/>
      <c r="BQ77" s="49"/>
      <c r="BR77" s="50"/>
      <c r="BS77" s="49"/>
      <c r="BT77" s="50"/>
      <c r="BU77" s="49"/>
      <c r="BV77" s="2"/>
      <c r="BW77" s="3"/>
      <c r="BX77" s="3"/>
      <c r="BY77" s="3"/>
      <c r="BZ77" s="3"/>
    </row>
    <row r="78" spans="1:78" ht="41.45" customHeight="1">
      <c r="A78" s="66" t="s">
        <v>302</v>
      </c>
      <c r="C78" s="67"/>
      <c r="D78" s="67" t="s">
        <v>64</v>
      </c>
      <c r="E78" s="68">
        <v>171.28559317021234</v>
      </c>
      <c r="F78" s="70">
        <v>99.94721055037542</v>
      </c>
      <c r="G78" s="105" t="str">
        <f>HYPERLINK("https://pbs.twimg.com/profile_images/1450909106995355650/sNcLhBm4_normal.jpg")</f>
        <v>https://pbs.twimg.com/profile_images/1450909106995355650/sNcLhBm4_normal.jpg</v>
      </c>
      <c r="H78" s="67"/>
      <c r="I78" s="71" t="s">
        <v>302</v>
      </c>
      <c r="J78" s="72"/>
      <c r="K78" s="72"/>
      <c r="L78" s="71" t="s">
        <v>1369</v>
      </c>
      <c r="M78" s="75">
        <v>18.59296391155419</v>
      </c>
      <c r="N78" s="76">
        <v>3842.217529296875</v>
      </c>
      <c r="O78" s="76">
        <v>7829.4658203125</v>
      </c>
      <c r="P78" s="77"/>
      <c r="Q78" s="78"/>
      <c r="R78" s="78"/>
      <c r="S78" s="91"/>
      <c r="T78" s="49">
        <v>0</v>
      </c>
      <c r="U78" s="49">
        <v>3</v>
      </c>
      <c r="V78" s="50">
        <v>10</v>
      </c>
      <c r="W78" s="50">
        <v>0.045208</v>
      </c>
      <c r="X78" s="50">
        <v>0</v>
      </c>
      <c r="Y78" s="50">
        <v>0.013938</v>
      </c>
      <c r="Z78" s="50">
        <v>0</v>
      </c>
      <c r="AA78" s="50">
        <v>0</v>
      </c>
      <c r="AB78" s="73">
        <v>78</v>
      </c>
      <c r="AC78" s="73"/>
      <c r="AD78" s="74"/>
      <c r="AE78" s="81" t="s">
        <v>1087</v>
      </c>
      <c r="AF78" s="90" t="s">
        <v>1152</v>
      </c>
      <c r="AG78" s="81">
        <v>510</v>
      </c>
      <c r="AH78" s="81">
        <v>570</v>
      </c>
      <c r="AI78" s="81">
        <v>31826</v>
      </c>
      <c r="AJ78" s="81">
        <v>37156</v>
      </c>
      <c r="AK78" s="81"/>
      <c r="AL78" s="81" t="s">
        <v>1230</v>
      </c>
      <c r="AM78" s="81" t="s">
        <v>1290</v>
      </c>
      <c r="AN78" s="81"/>
      <c r="AO78" s="81"/>
      <c r="AP78" s="83">
        <v>40535.96204861111</v>
      </c>
      <c r="AQ78" s="86" t="str">
        <f>HYPERLINK("https://pbs.twimg.com/profile_banners/229989648/1643496877")</f>
        <v>https://pbs.twimg.com/profile_banners/229989648/1643496877</v>
      </c>
      <c r="AR78" s="81" t="b">
        <v>1</v>
      </c>
      <c r="AS78" s="81" t="b">
        <v>0</v>
      </c>
      <c r="AT78" s="81" t="b">
        <v>0</v>
      </c>
      <c r="AU78" s="81"/>
      <c r="AV78" s="81">
        <v>7</v>
      </c>
      <c r="AW78" s="86" t="str">
        <f>HYPERLINK("https://abs.twimg.com/images/themes/theme1/bg.png")</f>
        <v>https://abs.twimg.com/images/themes/theme1/bg.png</v>
      </c>
      <c r="AX78" s="81" t="b">
        <v>0</v>
      </c>
      <c r="AY78" s="81" t="s">
        <v>1294</v>
      </c>
      <c r="AZ78" s="86" t="str">
        <f>HYPERLINK("https://twitter.com/thevinylslap")</f>
        <v>https://twitter.com/thevinylslap</v>
      </c>
      <c r="BA78" s="81" t="s">
        <v>66</v>
      </c>
      <c r="BB78" s="81" t="str">
        <f>REPLACE(INDEX(GroupVertices[Group],MATCH(Vertices[[#This Row],[Vertex]],GroupVertices[Vertex],0)),1,1,"")</f>
        <v>3</v>
      </c>
      <c r="BC78" s="49"/>
      <c r="BD78" s="49"/>
      <c r="BE78" s="49"/>
      <c r="BF78" s="49"/>
      <c r="BG78" s="49"/>
      <c r="BH78" s="49"/>
      <c r="BI78" s="112" t="s">
        <v>1733</v>
      </c>
      <c r="BJ78" s="112" t="s">
        <v>1742</v>
      </c>
      <c r="BK78" s="112" t="s">
        <v>1775</v>
      </c>
      <c r="BL78" s="112" t="s">
        <v>1782</v>
      </c>
      <c r="BM78" s="112">
        <v>0</v>
      </c>
      <c r="BN78" s="115">
        <v>0</v>
      </c>
      <c r="BO78" s="112">
        <v>0</v>
      </c>
      <c r="BP78" s="115">
        <v>0</v>
      </c>
      <c r="BQ78" s="112">
        <v>0</v>
      </c>
      <c r="BR78" s="115">
        <v>0</v>
      </c>
      <c r="BS78" s="112">
        <v>33</v>
      </c>
      <c r="BT78" s="115">
        <v>100</v>
      </c>
      <c r="BU78" s="112">
        <v>33</v>
      </c>
      <c r="BV78" s="2"/>
      <c r="BW78" s="3"/>
      <c r="BX78" s="3"/>
      <c r="BY78" s="3"/>
      <c r="BZ78" s="3"/>
    </row>
    <row r="79" spans="1:78" ht="41.45" customHeight="1">
      <c r="A79" s="66" t="s">
        <v>328</v>
      </c>
      <c r="C79" s="67"/>
      <c r="D79" s="67" t="s">
        <v>64</v>
      </c>
      <c r="E79" s="68">
        <v>176.77103255190363</v>
      </c>
      <c r="F79" s="70">
        <v>99.9160253239068</v>
      </c>
      <c r="G79" s="105" t="str">
        <f>HYPERLINK("https://pbs.twimg.com/profile_images/1532774777252982785/1BWh9qsB_normal.jpg")</f>
        <v>https://pbs.twimg.com/profile_images/1532774777252982785/1BWh9qsB_normal.jpg</v>
      </c>
      <c r="H79" s="67"/>
      <c r="I79" s="71" t="s">
        <v>328</v>
      </c>
      <c r="J79" s="72"/>
      <c r="K79" s="72"/>
      <c r="L79" s="71" t="s">
        <v>1370</v>
      </c>
      <c r="M79" s="75">
        <v>28.985960385995455</v>
      </c>
      <c r="N79" s="76">
        <v>3233.24169921875</v>
      </c>
      <c r="O79" s="76">
        <v>7053.19580078125</v>
      </c>
      <c r="P79" s="77"/>
      <c r="Q79" s="78"/>
      <c r="R79" s="78"/>
      <c r="S79" s="91"/>
      <c r="T79" s="49">
        <v>1</v>
      </c>
      <c r="U79" s="49">
        <v>0</v>
      </c>
      <c r="V79" s="50">
        <v>0</v>
      </c>
      <c r="W79" s="50">
        <v>0.028769</v>
      </c>
      <c r="X79" s="50">
        <v>0</v>
      </c>
      <c r="Y79" s="50">
        <v>0.011322</v>
      </c>
      <c r="Z79" s="50">
        <v>0</v>
      </c>
      <c r="AA79" s="50">
        <v>0</v>
      </c>
      <c r="AB79" s="73">
        <v>79</v>
      </c>
      <c r="AC79" s="73"/>
      <c r="AD79" s="74"/>
      <c r="AE79" s="81" t="s">
        <v>1088</v>
      </c>
      <c r="AF79" s="90" t="s">
        <v>1153</v>
      </c>
      <c r="AG79" s="81">
        <v>1175</v>
      </c>
      <c r="AH79" s="81">
        <v>902</v>
      </c>
      <c r="AI79" s="81">
        <v>6986</v>
      </c>
      <c r="AJ79" s="81">
        <v>16906</v>
      </c>
      <c r="AK79" s="81"/>
      <c r="AL79" s="81" t="s">
        <v>1231</v>
      </c>
      <c r="AM79" s="81"/>
      <c r="AN79" s="81"/>
      <c r="AO79" s="81"/>
      <c r="AP79" s="83">
        <v>42868.691145833334</v>
      </c>
      <c r="AQ79" s="86" t="str">
        <f>HYPERLINK("https://pbs.twimg.com/profile_banners/863432463317684224/1614892716")</f>
        <v>https://pbs.twimg.com/profile_banners/863432463317684224/1614892716</v>
      </c>
      <c r="AR79" s="81" t="b">
        <v>1</v>
      </c>
      <c r="AS79" s="81" t="b">
        <v>0</v>
      </c>
      <c r="AT79" s="81" t="b">
        <v>0</v>
      </c>
      <c r="AU79" s="81"/>
      <c r="AV79" s="81">
        <v>4</v>
      </c>
      <c r="AW79" s="81"/>
      <c r="AX79" s="81" t="b">
        <v>0</v>
      </c>
      <c r="AY79" s="81" t="s">
        <v>1294</v>
      </c>
      <c r="AZ79" s="86" t="str">
        <f>HYPERLINK("https://twitter.com/jemmilner")</f>
        <v>https://twitter.com/jemmilner</v>
      </c>
      <c r="BA79" s="81" t="s">
        <v>65</v>
      </c>
      <c r="BB79" s="81" t="str">
        <f>REPLACE(INDEX(GroupVertices[Group],MATCH(Vertices[[#This Row],[Vertex]],GroupVertices[Vertex],0)),1,1,"")</f>
        <v>3</v>
      </c>
      <c r="BC79" s="49"/>
      <c r="BD79" s="49"/>
      <c r="BE79" s="49"/>
      <c r="BF79" s="49"/>
      <c r="BG79" s="49"/>
      <c r="BH79" s="49"/>
      <c r="BI79" s="49"/>
      <c r="BJ79" s="49"/>
      <c r="BK79" s="49"/>
      <c r="BL79" s="49"/>
      <c r="BM79" s="49"/>
      <c r="BN79" s="50"/>
      <c r="BO79" s="49"/>
      <c r="BP79" s="50"/>
      <c r="BQ79" s="49"/>
      <c r="BR79" s="50"/>
      <c r="BS79" s="49"/>
      <c r="BT79" s="50"/>
      <c r="BU79" s="49"/>
      <c r="BV79" s="2"/>
      <c r="BW79" s="3"/>
      <c r="BX79" s="3"/>
      <c r="BY79" s="3"/>
      <c r="BZ79" s="3"/>
    </row>
    <row r="80" spans="1:78" ht="41.45" customHeight="1">
      <c r="A80" s="66" t="s">
        <v>303</v>
      </c>
      <c r="C80" s="67"/>
      <c r="D80" s="67" t="s">
        <v>64</v>
      </c>
      <c r="E80" s="68">
        <v>264.17456968788815</v>
      </c>
      <c r="F80" s="70">
        <v>99.41912819131949</v>
      </c>
      <c r="G80" s="105" t="str">
        <f>HYPERLINK("https://pbs.twimg.com/profile_images/362558582/Kaline_1968_normal.jpg")</f>
        <v>https://pbs.twimg.com/profile_images/362558582/Kaline_1968_normal.jpg</v>
      </c>
      <c r="H80" s="67"/>
      <c r="I80" s="71" t="s">
        <v>303</v>
      </c>
      <c r="J80" s="72"/>
      <c r="K80" s="72"/>
      <c r="L80" s="71" t="s">
        <v>1371</v>
      </c>
      <c r="M80" s="75">
        <v>194.5852114395927</v>
      </c>
      <c r="N80" s="76">
        <v>9347.0078125</v>
      </c>
      <c r="O80" s="76">
        <v>3890.650634765625</v>
      </c>
      <c r="P80" s="77"/>
      <c r="Q80" s="78"/>
      <c r="R80" s="78"/>
      <c r="S80" s="91"/>
      <c r="T80" s="49">
        <v>2</v>
      </c>
      <c r="U80" s="49">
        <v>1</v>
      </c>
      <c r="V80" s="50">
        <v>0</v>
      </c>
      <c r="W80" s="50">
        <v>0.012658</v>
      </c>
      <c r="X80" s="50">
        <v>0</v>
      </c>
      <c r="Y80" s="50">
        <v>0.013372</v>
      </c>
      <c r="Z80" s="50">
        <v>0</v>
      </c>
      <c r="AA80" s="50">
        <v>0</v>
      </c>
      <c r="AB80" s="73">
        <v>80</v>
      </c>
      <c r="AC80" s="73"/>
      <c r="AD80" s="74"/>
      <c r="AE80" s="81" t="s">
        <v>1089</v>
      </c>
      <c r="AF80" s="90" t="s">
        <v>1154</v>
      </c>
      <c r="AG80" s="81">
        <v>6568</v>
      </c>
      <c r="AH80" s="81">
        <v>6192</v>
      </c>
      <c r="AI80" s="81">
        <v>199308</v>
      </c>
      <c r="AJ80" s="81">
        <v>160879</v>
      </c>
      <c r="AK80" s="81"/>
      <c r="AL80" s="81" t="s">
        <v>1232</v>
      </c>
      <c r="AM80" s="81" t="s">
        <v>1291</v>
      </c>
      <c r="AN80" s="86" t="str">
        <f>HYPERLINK("https://t.co/J4TE5cvWog")</f>
        <v>https://t.co/J4TE5cvWog</v>
      </c>
      <c r="AO80" s="81"/>
      <c r="AP80" s="83">
        <v>40039.633425925924</v>
      </c>
      <c r="AQ80" s="81"/>
      <c r="AR80" s="81" t="b">
        <v>1</v>
      </c>
      <c r="AS80" s="81" t="b">
        <v>0</v>
      </c>
      <c r="AT80" s="81" t="b">
        <v>1</v>
      </c>
      <c r="AU80" s="81"/>
      <c r="AV80" s="81">
        <v>74</v>
      </c>
      <c r="AW80" s="86" t="str">
        <f>HYPERLINK("https://abs.twimg.com/images/themes/theme1/bg.png")</f>
        <v>https://abs.twimg.com/images/themes/theme1/bg.png</v>
      </c>
      <c r="AX80" s="81" t="b">
        <v>0</v>
      </c>
      <c r="AY80" s="81" t="s">
        <v>1294</v>
      </c>
      <c r="AZ80" s="86" t="str">
        <f>HYPERLINK("https://twitter.com/kalinecountry")</f>
        <v>https://twitter.com/kalinecountry</v>
      </c>
      <c r="BA80" s="81" t="s">
        <v>66</v>
      </c>
      <c r="BB80" s="81" t="str">
        <f>REPLACE(INDEX(GroupVertices[Group],MATCH(Vertices[[#This Row],[Vertex]],GroupVertices[Vertex],0)),1,1,"")</f>
        <v>11</v>
      </c>
      <c r="BC80" s="49" t="s">
        <v>519</v>
      </c>
      <c r="BD80" s="49" t="s">
        <v>519</v>
      </c>
      <c r="BE80" s="49" t="s">
        <v>524</v>
      </c>
      <c r="BF80" s="49" t="s">
        <v>524</v>
      </c>
      <c r="BG80" s="49"/>
      <c r="BH80" s="49"/>
      <c r="BI80" s="112" t="s">
        <v>1556</v>
      </c>
      <c r="BJ80" s="112" t="s">
        <v>1556</v>
      </c>
      <c r="BK80" s="112" t="s">
        <v>1628</v>
      </c>
      <c r="BL80" s="112" t="s">
        <v>1628</v>
      </c>
      <c r="BM80" s="112">
        <v>1</v>
      </c>
      <c r="BN80" s="115">
        <v>12.5</v>
      </c>
      <c r="BO80" s="112">
        <v>0</v>
      </c>
      <c r="BP80" s="115">
        <v>0</v>
      </c>
      <c r="BQ80" s="112">
        <v>0</v>
      </c>
      <c r="BR80" s="115">
        <v>0</v>
      </c>
      <c r="BS80" s="112">
        <v>7</v>
      </c>
      <c r="BT80" s="115">
        <v>87.5</v>
      </c>
      <c r="BU80" s="112">
        <v>8</v>
      </c>
      <c r="BV80" s="2"/>
      <c r="BW80" s="3"/>
      <c r="BX80" s="3"/>
      <c r="BY80" s="3"/>
      <c r="BZ80" s="3"/>
    </row>
    <row r="81" spans="1:78" ht="41.45" customHeight="1">
      <c r="A81" s="66" t="s">
        <v>304</v>
      </c>
      <c r="C81" s="67"/>
      <c r="D81" s="67" t="s">
        <v>64</v>
      </c>
      <c r="E81" s="68">
        <v>167.9315443916481</v>
      </c>
      <c r="F81" s="70">
        <v>99.96627862559568</v>
      </c>
      <c r="G81" s="105" t="str">
        <f>HYPERLINK("https://pbs.twimg.com/profile_images/486132180309917697/7_nnP6z7_normal.jpeg")</f>
        <v>https://pbs.twimg.com/profile_images/486132180309917697/7_nnP6z7_normal.jpeg</v>
      </c>
      <c r="H81" s="67"/>
      <c r="I81" s="71" t="s">
        <v>304</v>
      </c>
      <c r="J81" s="72"/>
      <c r="K81" s="72"/>
      <c r="L81" s="71" t="s">
        <v>1372</v>
      </c>
      <c r="M81" s="75">
        <v>12.238210043145825</v>
      </c>
      <c r="N81" s="76">
        <v>9347.0078125</v>
      </c>
      <c r="O81" s="76">
        <v>4769.98779296875</v>
      </c>
      <c r="P81" s="77"/>
      <c r="Q81" s="78"/>
      <c r="R81" s="78"/>
      <c r="S81" s="91"/>
      <c r="T81" s="49">
        <v>0</v>
      </c>
      <c r="U81" s="49">
        <v>1</v>
      </c>
      <c r="V81" s="50">
        <v>0</v>
      </c>
      <c r="W81" s="50">
        <v>0.012658</v>
      </c>
      <c r="X81" s="50">
        <v>0</v>
      </c>
      <c r="Y81" s="50">
        <v>0.011628</v>
      </c>
      <c r="Z81" s="50">
        <v>0</v>
      </c>
      <c r="AA81" s="50">
        <v>0</v>
      </c>
      <c r="AB81" s="73">
        <v>81</v>
      </c>
      <c r="AC81" s="73"/>
      <c r="AD81" s="74"/>
      <c r="AE81" s="81" t="s">
        <v>1090</v>
      </c>
      <c r="AF81" s="90" t="s">
        <v>1155</v>
      </c>
      <c r="AG81" s="81">
        <v>182</v>
      </c>
      <c r="AH81" s="81">
        <v>367</v>
      </c>
      <c r="AI81" s="81">
        <v>41869</v>
      </c>
      <c r="AJ81" s="81">
        <v>7158</v>
      </c>
      <c r="AK81" s="81"/>
      <c r="AL81" s="81" t="s">
        <v>1233</v>
      </c>
      <c r="AM81" s="81" t="s">
        <v>1292</v>
      </c>
      <c r="AN81" s="81"/>
      <c r="AO81" s="81"/>
      <c r="AP81" s="83">
        <v>41230.02138888889</v>
      </c>
      <c r="AQ81" s="86" t="str">
        <f>HYPERLINK("https://pbs.twimg.com/profile_banners/952646220/1404738930")</f>
        <v>https://pbs.twimg.com/profile_banners/952646220/1404738930</v>
      </c>
      <c r="AR81" s="81" t="b">
        <v>0</v>
      </c>
      <c r="AS81" s="81" t="b">
        <v>0</v>
      </c>
      <c r="AT81" s="81" t="b">
        <v>1</v>
      </c>
      <c r="AU81" s="81"/>
      <c r="AV81" s="81">
        <v>11</v>
      </c>
      <c r="AW81" s="86" t="str">
        <f>HYPERLINK("https://abs.twimg.com/images/themes/theme14/bg.gif")</f>
        <v>https://abs.twimg.com/images/themes/theme14/bg.gif</v>
      </c>
      <c r="AX81" s="81" t="b">
        <v>0</v>
      </c>
      <c r="AY81" s="81" t="s">
        <v>1294</v>
      </c>
      <c r="AZ81" s="86" t="str">
        <f>HYPERLINK("https://twitter.com/paperyou")</f>
        <v>https://twitter.com/paperyou</v>
      </c>
      <c r="BA81" s="81" t="s">
        <v>66</v>
      </c>
      <c r="BB81" s="81" t="str">
        <f>REPLACE(INDEX(GroupVertices[Group],MATCH(Vertices[[#This Row],[Vertex]],GroupVertices[Vertex],0)),1,1,"")</f>
        <v>11</v>
      </c>
      <c r="BC81" s="49" t="s">
        <v>520</v>
      </c>
      <c r="BD81" s="49" t="s">
        <v>520</v>
      </c>
      <c r="BE81" s="49" t="s">
        <v>524</v>
      </c>
      <c r="BF81" s="49" t="s">
        <v>524</v>
      </c>
      <c r="BG81" s="49"/>
      <c r="BH81" s="49"/>
      <c r="BI81" s="112" t="s">
        <v>1556</v>
      </c>
      <c r="BJ81" s="112" t="s">
        <v>1556</v>
      </c>
      <c r="BK81" s="112" t="s">
        <v>1628</v>
      </c>
      <c r="BL81" s="112" t="s">
        <v>1628</v>
      </c>
      <c r="BM81" s="112">
        <v>1</v>
      </c>
      <c r="BN81" s="115">
        <v>12.5</v>
      </c>
      <c r="BO81" s="112">
        <v>0</v>
      </c>
      <c r="BP81" s="115">
        <v>0</v>
      </c>
      <c r="BQ81" s="112">
        <v>0</v>
      </c>
      <c r="BR81" s="115">
        <v>0</v>
      </c>
      <c r="BS81" s="112">
        <v>7</v>
      </c>
      <c r="BT81" s="115">
        <v>87.5</v>
      </c>
      <c r="BU81" s="112">
        <v>8</v>
      </c>
      <c r="BV81" s="2"/>
      <c r="BW81" s="3"/>
      <c r="BX81" s="3"/>
      <c r="BY81" s="3"/>
      <c r="BZ81" s="3"/>
    </row>
    <row r="82" spans="1:78" ht="41.45" customHeight="1">
      <c r="A82" s="92" t="s">
        <v>305</v>
      </c>
      <c r="C82" s="93"/>
      <c r="D82" s="93" t="s">
        <v>64</v>
      </c>
      <c r="E82" s="94">
        <v>162.57828427216626</v>
      </c>
      <c r="F82" s="95">
        <v>99.9967124008241</v>
      </c>
      <c r="G82" s="106" t="str">
        <f>HYPERLINK("https://pbs.twimg.com/profile_images/825717962481029123/h6cXfTnb_normal.jpg")</f>
        <v>https://pbs.twimg.com/profile_images/825717962481029123/h6cXfTnb_normal.jpg</v>
      </c>
      <c r="H82" s="93"/>
      <c r="I82" s="96" t="s">
        <v>305</v>
      </c>
      <c r="J82" s="97"/>
      <c r="K82" s="97"/>
      <c r="L82" s="96" t="s">
        <v>1373</v>
      </c>
      <c r="M82" s="98">
        <v>2.0956472186910973</v>
      </c>
      <c r="N82" s="99">
        <v>1980.694580078125</v>
      </c>
      <c r="O82" s="99">
        <v>2405.73291015625</v>
      </c>
      <c r="P82" s="100"/>
      <c r="Q82" s="101"/>
      <c r="R82" s="101"/>
      <c r="S82" s="102"/>
      <c r="T82" s="49">
        <v>1</v>
      </c>
      <c r="U82" s="49">
        <v>1</v>
      </c>
      <c r="V82" s="50">
        <v>0</v>
      </c>
      <c r="W82" s="50">
        <v>0</v>
      </c>
      <c r="X82" s="50">
        <v>0</v>
      </c>
      <c r="Y82" s="50">
        <v>0.0125</v>
      </c>
      <c r="Z82" s="50">
        <v>0</v>
      </c>
      <c r="AA82" s="50">
        <v>0</v>
      </c>
      <c r="AB82" s="103">
        <v>82</v>
      </c>
      <c r="AC82" s="103"/>
      <c r="AD82" s="104"/>
      <c r="AE82" s="81" t="s">
        <v>1091</v>
      </c>
      <c r="AF82" s="90" t="s">
        <v>1156</v>
      </c>
      <c r="AG82" s="81">
        <v>0</v>
      </c>
      <c r="AH82" s="81">
        <v>43</v>
      </c>
      <c r="AI82" s="81">
        <v>561489</v>
      </c>
      <c r="AJ82" s="81">
        <v>0</v>
      </c>
      <c r="AK82" s="81"/>
      <c r="AL82" s="81"/>
      <c r="AM82" s="81"/>
      <c r="AN82" s="81"/>
      <c r="AO82" s="81"/>
      <c r="AP82" s="83">
        <v>42764.61195601852</v>
      </c>
      <c r="AQ82" s="86" t="str">
        <f>HYPERLINK("https://pbs.twimg.com/profile_banners/825715426021761024/1485701778")</f>
        <v>https://pbs.twimg.com/profile_banners/825715426021761024/1485701778</v>
      </c>
      <c r="AR82" s="81" t="b">
        <v>1</v>
      </c>
      <c r="AS82" s="81" t="b">
        <v>0</v>
      </c>
      <c r="AT82" s="81" t="b">
        <v>0</v>
      </c>
      <c r="AU82" s="81"/>
      <c r="AV82" s="81">
        <v>0</v>
      </c>
      <c r="AW82" s="81"/>
      <c r="AX82" s="81" t="b">
        <v>0</v>
      </c>
      <c r="AY82" s="81" t="s">
        <v>1294</v>
      </c>
      <c r="AZ82" s="86" t="str">
        <f>HYPERLINK("https://twitter.com/chombotofficial")</f>
        <v>https://twitter.com/chombotofficial</v>
      </c>
      <c r="BA82" s="81" t="s">
        <v>66</v>
      </c>
      <c r="BB82" s="81" t="str">
        <f>REPLACE(INDEX(GroupVertices[Group],MATCH(Vertices[[#This Row],[Vertex]],GroupVertices[Vertex],0)),1,1,"")</f>
        <v>2</v>
      </c>
      <c r="BC82" s="49"/>
      <c r="BD82" s="49"/>
      <c r="BE82" s="49"/>
      <c r="BF82" s="49"/>
      <c r="BG82" s="49"/>
      <c r="BH82" s="49"/>
      <c r="BI82" s="112" t="s">
        <v>1734</v>
      </c>
      <c r="BJ82" s="112" t="s">
        <v>1743</v>
      </c>
      <c r="BK82" s="112" t="s">
        <v>1622</v>
      </c>
      <c r="BL82" s="112" t="s">
        <v>1783</v>
      </c>
      <c r="BM82" s="112">
        <v>23</v>
      </c>
      <c r="BN82" s="115">
        <v>0.869894099848714</v>
      </c>
      <c r="BO82" s="112">
        <v>93</v>
      </c>
      <c r="BP82" s="115">
        <v>3.5173978819969745</v>
      </c>
      <c r="BQ82" s="112">
        <v>0</v>
      </c>
      <c r="BR82" s="115">
        <v>0</v>
      </c>
      <c r="BS82" s="112">
        <v>2528</v>
      </c>
      <c r="BT82" s="115">
        <v>95.61270801815431</v>
      </c>
      <c r="BU82" s="112">
        <v>2644</v>
      </c>
      <c r="BV82" s="2"/>
      <c r="BW82" s="3"/>
      <c r="BX82" s="3"/>
      <c r="BY82" s="3"/>
      <c r="BZ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2"/>
    <dataValidation allowBlank="1" showInputMessage="1" promptTitle="Vertex Tooltip" prompt="Enter optional text that will pop up when the mouse is hovered over the vertex." errorTitle="Invalid Vertex Image Key" sqref="L3:L8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2"/>
    <dataValidation allowBlank="1" showInputMessage="1" promptTitle="Vertex Label Fill Color" prompt="To select an optional fill color for the Label shape, right-click and select Select Color on the right-click menu." sqref="J3:J82"/>
    <dataValidation allowBlank="1" showInputMessage="1" promptTitle="Vertex Image File" prompt="Enter the path to an image file.  Hover over the column header for examples." errorTitle="Invalid Vertex Image Key" sqref="G3:G82"/>
    <dataValidation allowBlank="1" showInputMessage="1" promptTitle="Vertex Color" prompt="To select an optional vertex color, right-click and select Select Color on the right-click menu." sqref="C3:C82"/>
    <dataValidation allowBlank="1" showInputMessage="1" promptTitle="Vertex Opacity" prompt="Enter an optional vertex opacity between 0 (transparent) and 100 (opaque)." errorTitle="Invalid Vertex Opacity" error="The optional vertex opacity must be a whole number between 0 and 10." sqref="F3:F82"/>
    <dataValidation type="list" allowBlank="1" showInputMessage="1" showErrorMessage="1" promptTitle="Vertex Shape" prompt="Select an optional vertex shape." errorTitle="Invalid Vertex Shape" error="You have entered an invalid vertex shape.  Try selecting from the drop-down list instead." sqref="D3:D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1448</v>
      </c>
      <c r="Z2" s="13" t="s">
        <v>1468</v>
      </c>
      <c r="AA2" s="13" t="s">
        <v>1491</v>
      </c>
      <c r="AB2" s="13" t="s">
        <v>1546</v>
      </c>
      <c r="AC2" s="13" t="s">
        <v>1620</v>
      </c>
      <c r="AD2" s="13" t="s">
        <v>1654</v>
      </c>
      <c r="AE2" s="13" t="s">
        <v>1658</v>
      </c>
      <c r="AF2" s="13" t="s">
        <v>1674</v>
      </c>
      <c r="AG2" s="54" t="s">
        <v>2094</v>
      </c>
      <c r="AH2" s="54" t="s">
        <v>2095</v>
      </c>
      <c r="AI2" s="54" t="s">
        <v>2096</v>
      </c>
      <c r="AJ2" s="54" t="s">
        <v>2097</v>
      </c>
      <c r="AK2" s="54" t="s">
        <v>2098</v>
      </c>
      <c r="AL2" s="54" t="s">
        <v>2099</v>
      </c>
      <c r="AM2" s="54" t="s">
        <v>2100</v>
      </c>
      <c r="AN2" s="54" t="s">
        <v>2101</v>
      </c>
      <c r="AO2" s="54" t="s">
        <v>2104</v>
      </c>
    </row>
    <row r="3" spans="1:41" ht="15">
      <c r="A3" s="66" t="s">
        <v>1377</v>
      </c>
      <c r="B3" s="67" t="s">
        <v>1397</v>
      </c>
      <c r="C3" s="67" t="s">
        <v>56</v>
      </c>
      <c r="D3" s="108"/>
      <c r="E3" s="14"/>
      <c r="F3" s="15" t="s">
        <v>2141</v>
      </c>
      <c r="G3" s="64"/>
      <c r="H3" s="64"/>
      <c r="I3" s="109">
        <v>3</v>
      </c>
      <c r="J3" s="51"/>
      <c r="K3" s="49">
        <v>17</v>
      </c>
      <c r="L3" s="49">
        <v>41</v>
      </c>
      <c r="M3" s="49">
        <v>10</v>
      </c>
      <c r="N3" s="49">
        <v>51</v>
      </c>
      <c r="O3" s="49">
        <v>2</v>
      </c>
      <c r="P3" s="50">
        <v>0.1</v>
      </c>
      <c r="Q3" s="50">
        <v>0.18181818181818182</v>
      </c>
      <c r="R3" s="49">
        <v>1</v>
      </c>
      <c r="S3" s="49">
        <v>0</v>
      </c>
      <c r="T3" s="49">
        <v>17</v>
      </c>
      <c r="U3" s="49">
        <v>51</v>
      </c>
      <c r="V3" s="49">
        <v>3</v>
      </c>
      <c r="W3" s="50">
        <v>1.695502</v>
      </c>
      <c r="X3" s="50">
        <v>0.16176470588235295</v>
      </c>
      <c r="Y3" s="81" t="s">
        <v>1449</v>
      </c>
      <c r="Z3" s="81" t="s">
        <v>1469</v>
      </c>
      <c r="AA3" s="81"/>
      <c r="AB3" s="90" t="s">
        <v>1547</v>
      </c>
      <c r="AC3" s="90" t="s">
        <v>1621</v>
      </c>
      <c r="AD3" s="90" t="s">
        <v>1655</v>
      </c>
      <c r="AE3" s="90" t="s">
        <v>1659</v>
      </c>
      <c r="AF3" s="90" t="s">
        <v>1675</v>
      </c>
      <c r="AG3" s="112">
        <v>33</v>
      </c>
      <c r="AH3" s="115">
        <v>5.9352517985611515</v>
      </c>
      <c r="AI3" s="112">
        <v>12</v>
      </c>
      <c r="AJ3" s="115">
        <v>2.158273381294964</v>
      </c>
      <c r="AK3" s="112">
        <v>0</v>
      </c>
      <c r="AL3" s="115">
        <v>0</v>
      </c>
      <c r="AM3" s="112">
        <v>511</v>
      </c>
      <c r="AN3" s="115">
        <v>91.90647482014388</v>
      </c>
      <c r="AO3" s="112">
        <v>556</v>
      </c>
    </row>
    <row r="4" spans="1:41" ht="15">
      <c r="A4" s="66" t="s">
        <v>1378</v>
      </c>
      <c r="B4" s="67" t="s">
        <v>1398</v>
      </c>
      <c r="C4" s="67" t="s">
        <v>56</v>
      </c>
      <c r="D4" s="108"/>
      <c r="E4" s="14"/>
      <c r="F4" s="15" t="s">
        <v>2142</v>
      </c>
      <c r="G4" s="64"/>
      <c r="H4" s="64"/>
      <c r="I4" s="109">
        <v>4</v>
      </c>
      <c r="J4" s="79"/>
      <c r="K4" s="49">
        <v>8</v>
      </c>
      <c r="L4" s="49">
        <v>7</v>
      </c>
      <c r="M4" s="49">
        <v>142</v>
      </c>
      <c r="N4" s="49">
        <v>149</v>
      </c>
      <c r="O4" s="49">
        <v>149</v>
      </c>
      <c r="P4" s="50" t="s">
        <v>1412</v>
      </c>
      <c r="Q4" s="50" t="s">
        <v>1412</v>
      </c>
      <c r="R4" s="49">
        <v>8</v>
      </c>
      <c r="S4" s="49">
        <v>8</v>
      </c>
      <c r="T4" s="49">
        <v>1</v>
      </c>
      <c r="U4" s="49">
        <v>142</v>
      </c>
      <c r="V4" s="49">
        <v>0</v>
      </c>
      <c r="W4" s="50">
        <v>0</v>
      </c>
      <c r="X4" s="50">
        <v>0</v>
      </c>
      <c r="Y4" s="81" t="s">
        <v>1450</v>
      </c>
      <c r="Z4" s="81" t="s">
        <v>521</v>
      </c>
      <c r="AA4" s="81" t="s">
        <v>1492</v>
      </c>
      <c r="AB4" s="90" t="s">
        <v>1548</v>
      </c>
      <c r="AC4" s="90" t="s">
        <v>1622</v>
      </c>
      <c r="AD4" s="90"/>
      <c r="AE4" s="90"/>
      <c r="AF4" s="90" t="s">
        <v>1676</v>
      </c>
      <c r="AG4" s="112">
        <v>26</v>
      </c>
      <c r="AH4" s="115">
        <v>0.9359251259899208</v>
      </c>
      <c r="AI4" s="112">
        <v>93</v>
      </c>
      <c r="AJ4" s="115">
        <v>3.347732181425486</v>
      </c>
      <c r="AK4" s="112">
        <v>0</v>
      </c>
      <c r="AL4" s="115">
        <v>0</v>
      </c>
      <c r="AM4" s="112">
        <v>2659</v>
      </c>
      <c r="AN4" s="115">
        <v>95.71634269258459</v>
      </c>
      <c r="AO4" s="112">
        <v>2778</v>
      </c>
    </row>
    <row r="5" spans="1:41" ht="15">
      <c r="A5" s="66" t="s">
        <v>1379</v>
      </c>
      <c r="B5" s="67" t="s">
        <v>1399</v>
      </c>
      <c r="C5" s="67" t="s">
        <v>56</v>
      </c>
      <c r="D5" s="108"/>
      <c r="E5" s="14"/>
      <c r="F5" s="15" t="s">
        <v>2143</v>
      </c>
      <c r="G5" s="64"/>
      <c r="H5" s="64"/>
      <c r="I5" s="109">
        <v>5</v>
      </c>
      <c r="J5" s="79"/>
      <c r="K5" s="49">
        <v>6</v>
      </c>
      <c r="L5" s="49">
        <v>3</v>
      </c>
      <c r="M5" s="49">
        <v>6</v>
      </c>
      <c r="N5" s="49">
        <v>9</v>
      </c>
      <c r="O5" s="49">
        <v>0</v>
      </c>
      <c r="P5" s="50">
        <v>0</v>
      </c>
      <c r="Q5" s="50">
        <v>0</v>
      </c>
      <c r="R5" s="49">
        <v>1</v>
      </c>
      <c r="S5" s="49">
        <v>0</v>
      </c>
      <c r="T5" s="49">
        <v>6</v>
      </c>
      <c r="U5" s="49">
        <v>9</v>
      </c>
      <c r="V5" s="49">
        <v>3</v>
      </c>
      <c r="W5" s="50">
        <v>1.5</v>
      </c>
      <c r="X5" s="50">
        <v>0.2</v>
      </c>
      <c r="Y5" s="81"/>
      <c r="Z5" s="81"/>
      <c r="AA5" s="81"/>
      <c r="AB5" s="90" t="s">
        <v>1549</v>
      </c>
      <c r="AC5" s="90" t="s">
        <v>1623</v>
      </c>
      <c r="AD5" s="90" t="s">
        <v>1656</v>
      </c>
      <c r="AE5" s="90" t="s">
        <v>1660</v>
      </c>
      <c r="AF5" s="90" t="s">
        <v>1677</v>
      </c>
      <c r="AG5" s="112">
        <v>0</v>
      </c>
      <c r="AH5" s="115">
        <v>0</v>
      </c>
      <c r="AI5" s="112">
        <v>0</v>
      </c>
      <c r="AJ5" s="115">
        <v>0</v>
      </c>
      <c r="AK5" s="112">
        <v>0</v>
      </c>
      <c r="AL5" s="115">
        <v>0</v>
      </c>
      <c r="AM5" s="112">
        <v>44</v>
      </c>
      <c r="AN5" s="115">
        <v>100</v>
      </c>
      <c r="AO5" s="112">
        <v>44</v>
      </c>
    </row>
    <row r="6" spans="1:41" ht="15">
      <c r="A6" s="66" t="s">
        <v>1380</v>
      </c>
      <c r="B6" s="67" t="s">
        <v>1400</v>
      </c>
      <c r="C6" s="67" t="s">
        <v>56</v>
      </c>
      <c r="D6" s="108"/>
      <c r="E6" s="14"/>
      <c r="F6" s="15" t="s">
        <v>1380</v>
      </c>
      <c r="G6" s="64"/>
      <c r="H6" s="64"/>
      <c r="I6" s="109">
        <v>6</v>
      </c>
      <c r="J6" s="79"/>
      <c r="K6" s="49">
        <v>5</v>
      </c>
      <c r="L6" s="49">
        <v>4</v>
      </c>
      <c r="M6" s="49">
        <v>0</v>
      </c>
      <c r="N6" s="49">
        <v>4</v>
      </c>
      <c r="O6" s="49">
        <v>0</v>
      </c>
      <c r="P6" s="50">
        <v>0</v>
      </c>
      <c r="Q6" s="50">
        <v>0</v>
      </c>
      <c r="R6" s="49">
        <v>1</v>
      </c>
      <c r="S6" s="49">
        <v>0</v>
      </c>
      <c r="T6" s="49">
        <v>5</v>
      </c>
      <c r="U6" s="49">
        <v>4</v>
      </c>
      <c r="V6" s="49">
        <v>2</v>
      </c>
      <c r="W6" s="50">
        <v>1.28</v>
      </c>
      <c r="X6" s="50">
        <v>0.2</v>
      </c>
      <c r="Y6" s="81"/>
      <c r="Z6" s="81"/>
      <c r="AA6" s="81"/>
      <c r="AB6" s="90" t="s">
        <v>957</v>
      </c>
      <c r="AC6" s="90" t="s">
        <v>957</v>
      </c>
      <c r="AD6" s="90" t="s">
        <v>325</v>
      </c>
      <c r="AE6" s="90" t="s">
        <v>1661</v>
      </c>
      <c r="AF6" s="90" t="s">
        <v>1678</v>
      </c>
      <c r="AG6" s="112">
        <v>1</v>
      </c>
      <c r="AH6" s="115">
        <v>2.857142857142857</v>
      </c>
      <c r="AI6" s="112">
        <v>0</v>
      </c>
      <c r="AJ6" s="115">
        <v>0</v>
      </c>
      <c r="AK6" s="112">
        <v>0</v>
      </c>
      <c r="AL6" s="115">
        <v>0</v>
      </c>
      <c r="AM6" s="112">
        <v>34</v>
      </c>
      <c r="AN6" s="115">
        <v>97.14285714285714</v>
      </c>
      <c r="AO6" s="112">
        <v>35</v>
      </c>
    </row>
    <row r="7" spans="1:41" ht="15">
      <c r="A7" s="66" t="s">
        <v>1381</v>
      </c>
      <c r="B7" s="67" t="s">
        <v>1401</v>
      </c>
      <c r="C7" s="67" t="s">
        <v>56</v>
      </c>
      <c r="D7" s="108"/>
      <c r="E7" s="14"/>
      <c r="F7" s="15" t="s">
        <v>2144</v>
      </c>
      <c r="G7" s="64"/>
      <c r="H7" s="64"/>
      <c r="I7" s="109">
        <v>7</v>
      </c>
      <c r="J7" s="79"/>
      <c r="K7" s="49">
        <v>5</v>
      </c>
      <c r="L7" s="49">
        <v>4</v>
      </c>
      <c r="M7" s="49">
        <v>0</v>
      </c>
      <c r="N7" s="49">
        <v>4</v>
      </c>
      <c r="O7" s="49">
        <v>0</v>
      </c>
      <c r="P7" s="50">
        <v>0</v>
      </c>
      <c r="Q7" s="50">
        <v>0</v>
      </c>
      <c r="R7" s="49">
        <v>1</v>
      </c>
      <c r="S7" s="49">
        <v>0</v>
      </c>
      <c r="T7" s="49">
        <v>5</v>
      </c>
      <c r="U7" s="49">
        <v>4</v>
      </c>
      <c r="V7" s="49">
        <v>2</v>
      </c>
      <c r="W7" s="50">
        <v>1.28</v>
      </c>
      <c r="X7" s="50">
        <v>0.2</v>
      </c>
      <c r="Y7" s="81"/>
      <c r="Z7" s="81"/>
      <c r="AA7" s="81"/>
      <c r="AB7" s="90" t="s">
        <v>1550</v>
      </c>
      <c r="AC7" s="90" t="s">
        <v>957</v>
      </c>
      <c r="AD7" s="90" t="s">
        <v>315</v>
      </c>
      <c r="AE7" s="90" t="s">
        <v>1662</v>
      </c>
      <c r="AF7" s="90" t="s">
        <v>1679</v>
      </c>
      <c r="AG7" s="112">
        <v>1</v>
      </c>
      <c r="AH7" s="115">
        <v>2.857142857142857</v>
      </c>
      <c r="AI7" s="112">
        <v>0</v>
      </c>
      <c r="AJ7" s="115">
        <v>0</v>
      </c>
      <c r="AK7" s="112">
        <v>0</v>
      </c>
      <c r="AL7" s="115">
        <v>0</v>
      </c>
      <c r="AM7" s="112">
        <v>34</v>
      </c>
      <c r="AN7" s="115">
        <v>97.14285714285714</v>
      </c>
      <c r="AO7" s="112">
        <v>35</v>
      </c>
    </row>
    <row r="8" spans="1:41" ht="15">
      <c r="A8" s="66" t="s">
        <v>1382</v>
      </c>
      <c r="B8" s="67" t="s">
        <v>1402</v>
      </c>
      <c r="C8" s="67" t="s">
        <v>56</v>
      </c>
      <c r="D8" s="108"/>
      <c r="E8" s="14"/>
      <c r="F8" s="15" t="s">
        <v>2145</v>
      </c>
      <c r="G8" s="64"/>
      <c r="H8" s="64"/>
      <c r="I8" s="109">
        <v>8</v>
      </c>
      <c r="J8" s="79"/>
      <c r="K8" s="49">
        <v>5</v>
      </c>
      <c r="L8" s="49">
        <v>8</v>
      </c>
      <c r="M8" s="49">
        <v>0</v>
      </c>
      <c r="N8" s="49">
        <v>8</v>
      </c>
      <c r="O8" s="49">
        <v>1</v>
      </c>
      <c r="P8" s="50">
        <v>0.16666666666666666</v>
      </c>
      <c r="Q8" s="50">
        <v>0.2857142857142857</v>
      </c>
      <c r="R8" s="49">
        <v>1</v>
      </c>
      <c r="S8" s="49">
        <v>0</v>
      </c>
      <c r="T8" s="49">
        <v>5</v>
      </c>
      <c r="U8" s="49">
        <v>8</v>
      </c>
      <c r="V8" s="49">
        <v>2</v>
      </c>
      <c r="W8" s="50">
        <v>1.12</v>
      </c>
      <c r="X8" s="50">
        <v>0.35</v>
      </c>
      <c r="Y8" s="81" t="s">
        <v>1451</v>
      </c>
      <c r="Z8" s="81" t="s">
        <v>1470</v>
      </c>
      <c r="AA8" s="81"/>
      <c r="AB8" s="90" t="s">
        <v>1551</v>
      </c>
      <c r="AC8" s="90" t="s">
        <v>1624</v>
      </c>
      <c r="AD8" s="90" t="s">
        <v>267</v>
      </c>
      <c r="AE8" s="90" t="s">
        <v>265</v>
      </c>
      <c r="AF8" s="90" t="s">
        <v>1680</v>
      </c>
      <c r="AG8" s="112">
        <v>4</v>
      </c>
      <c r="AH8" s="115">
        <v>4.2105263157894735</v>
      </c>
      <c r="AI8" s="112">
        <v>1</v>
      </c>
      <c r="AJ8" s="115">
        <v>1.0526315789473684</v>
      </c>
      <c r="AK8" s="112">
        <v>0</v>
      </c>
      <c r="AL8" s="115">
        <v>0</v>
      </c>
      <c r="AM8" s="112">
        <v>90</v>
      </c>
      <c r="AN8" s="115">
        <v>94.73684210526316</v>
      </c>
      <c r="AO8" s="112">
        <v>95</v>
      </c>
    </row>
    <row r="9" spans="1:41" ht="15">
      <c r="A9" s="66" t="s">
        <v>1383</v>
      </c>
      <c r="B9" s="67" t="s">
        <v>1403</v>
      </c>
      <c r="C9" s="67" t="s">
        <v>56</v>
      </c>
      <c r="D9" s="108"/>
      <c r="E9" s="14"/>
      <c r="F9" s="15" t="s">
        <v>2146</v>
      </c>
      <c r="G9" s="64"/>
      <c r="H9" s="64"/>
      <c r="I9" s="109">
        <v>9</v>
      </c>
      <c r="J9" s="79"/>
      <c r="K9" s="49">
        <v>4</v>
      </c>
      <c r="L9" s="49">
        <v>4</v>
      </c>
      <c r="M9" s="49">
        <v>0</v>
      </c>
      <c r="N9" s="49">
        <v>4</v>
      </c>
      <c r="O9" s="49">
        <v>1</v>
      </c>
      <c r="P9" s="50">
        <v>0</v>
      </c>
      <c r="Q9" s="50">
        <v>0</v>
      </c>
      <c r="R9" s="49">
        <v>1</v>
      </c>
      <c r="S9" s="49">
        <v>0</v>
      </c>
      <c r="T9" s="49">
        <v>4</v>
      </c>
      <c r="U9" s="49">
        <v>4</v>
      </c>
      <c r="V9" s="49">
        <v>2</v>
      </c>
      <c r="W9" s="50">
        <v>1.125</v>
      </c>
      <c r="X9" s="50">
        <v>0.25</v>
      </c>
      <c r="Y9" s="81" t="s">
        <v>1452</v>
      </c>
      <c r="Z9" s="81" t="s">
        <v>1471</v>
      </c>
      <c r="AA9" s="81"/>
      <c r="AB9" s="90" t="s">
        <v>1552</v>
      </c>
      <c r="AC9" s="90" t="s">
        <v>1563</v>
      </c>
      <c r="AD9" s="90" t="s">
        <v>1657</v>
      </c>
      <c r="AE9" s="90" t="s">
        <v>316</v>
      </c>
      <c r="AF9" s="90" t="s">
        <v>1681</v>
      </c>
      <c r="AG9" s="112">
        <v>0</v>
      </c>
      <c r="AH9" s="115">
        <v>0</v>
      </c>
      <c r="AI9" s="112">
        <v>0</v>
      </c>
      <c r="AJ9" s="115">
        <v>0</v>
      </c>
      <c r="AK9" s="112">
        <v>0</v>
      </c>
      <c r="AL9" s="115">
        <v>0</v>
      </c>
      <c r="AM9" s="112">
        <v>29</v>
      </c>
      <c r="AN9" s="115">
        <v>100</v>
      </c>
      <c r="AO9" s="112">
        <v>29</v>
      </c>
    </row>
    <row r="10" spans="1:41" ht="14.25" customHeight="1">
      <c r="A10" s="66" t="s">
        <v>1384</v>
      </c>
      <c r="B10" s="67" t="s">
        <v>1404</v>
      </c>
      <c r="C10" s="67" t="s">
        <v>56</v>
      </c>
      <c r="D10" s="108"/>
      <c r="E10" s="14"/>
      <c r="F10" s="15" t="s">
        <v>2147</v>
      </c>
      <c r="G10" s="64"/>
      <c r="H10" s="64"/>
      <c r="I10" s="109">
        <v>10</v>
      </c>
      <c r="J10" s="79"/>
      <c r="K10" s="49">
        <v>4</v>
      </c>
      <c r="L10" s="49">
        <v>1</v>
      </c>
      <c r="M10" s="49">
        <v>5</v>
      </c>
      <c r="N10" s="49">
        <v>6</v>
      </c>
      <c r="O10" s="49">
        <v>0</v>
      </c>
      <c r="P10" s="50">
        <v>0</v>
      </c>
      <c r="Q10" s="50">
        <v>0</v>
      </c>
      <c r="R10" s="49">
        <v>1</v>
      </c>
      <c r="S10" s="49">
        <v>0</v>
      </c>
      <c r="T10" s="49">
        <v>4</v>
      </c>
      <c r="U10" s="49">
        <v>6</v>
      </c>
      <c r="V10" s="49">
        <v>3</v>
      </c>
      <c r="W10" s="50">
        <v>1.25</v>
      </c>
      <c r="X10" s="50">
        <v>0.25</v>
      </c>
      <c r="Y10" s="81"/>
      <c r="Z10" s="81"/>
      <c r="AA10" s="81"/>
      <c r="AB10" s="90" t="s">
        <v>1553</v>
      </c>
      <c r="AC10" s="90" t="s">
        <v>1625</v>
      </c>
      <c r="AD10" s="90" t="s">
        <v>310</v>
      </c>
      <c r="AE10" s="90" t="s">
        <v>311</v>
      </c>
      <c r="AF10" s="90" t="s">
        <v>1682</v>
      </c>
      <c r="AG10" s="112">
        <v>8</v>
      </c>
      <c r="AH10" s="115">
        <v>6.106870229007634</v>
      </c>
      <c r="AI10" s="112">
        <v>2</v>
      </c>
      <c r="AJ10" s="115">
        <v>1.5267175572519085</v>
      </c>
      <c r="AK10" s="112">
        <v>0</v>
      </c>
      <c r="AL10" s="115">
        <v>0</v>
      </c>
      <c r="AM10" s="112">
        <v>121</v>
      </c>
      <c r="AN10" s="115">
        <v>92.36641221374046</v>
      </c>
      <c r="AO10" s="112">
        <v>131</v>
      </c>
    </row>
    <row r="11" spans="1:41" ht="15">
      <c r="A11" s="66" t="s">
        <v>1385</v>
      </c>
      <c r="B11" s="67" t="s">
        <v>1405</v>
      </c>
      <c r="C11" s="67" t="s">
        <v>56</v>
      </c>
      <c r="D11" s="108"/>
      <c r="E11" s="14"/>
      <c r="F11" s="15" t="s">
        <v>2148</v>
      </c>
      <c r="G11" s="64"/>
      <c r="H11" s="64"/>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90" t="s">
        <v>1554</v>
      </c>
      <c r="AC11" s="90" t="s">
        <v>1626</v>
      </c>
      <c r="AD11" s="90"/>
      <c r="AE11" s="90"/>
      <c r="AF11" s="90" t="s">
        <v>1683</v>
      </c>
      <c r="AG11" s="112">
        <v>9</v>
      </c>
      <c r="AH11" s="115">
        <v>10.714285714285714</v>
      </c>
      <c r="AI11" s="112">
        <v>3</v>
      </c>
      <c r="AJ11" s="115">
        <v>3.5714285714285716</v>
      </c>
      <c r="AK11" s="112">
        <v>0</v>
      </c>
      <c r="AL11" s="115">
        <v>0</v>
      </c>
      <c r="AM11" s="112">
        <v>72</v>
      </c>
      <c r="AN11" s="115">
        <v>85.71428571428571</v>
      </c>
      <c r="AO11" s="112">
        <v>84</v>
      </c>
    </row>
    <row r="12" spans="1:41" ht="15">
      <c r="A12" s="66" t="s">
        <v>1386</v>
      </c>
      <c r="B12" s="67" t="s">
        <v>1406</v>
      </c>
      <c r="C12" s="67" t="s">
        <v>56</v>
      </c>
      <c r="D12" s="108"/>
      <c r="E12" s="14"/>
      <c r="F12" s="15" t="s">
        <v>2149</v>
      </c>
      <c r="G12" s="64"/>
      <c r="H12" s="64"/>
      <c r="I12" s="109">
        <v>12</v>
      </c>
      <c r="J12" s="79"/>
      <c r="K12" s="49">
        <v>3</v>
      </c>
      <c r="L12" s="49">
        <v>3</v>
      </c>
      <c r="M12" s="49">
        <v>0</v>
      </c>
      <c r="N12" s="49">
        <v>3</v>
      </c>
      <c r="O12" s="49">
        <v>0</v>
      </c>
      <c r="P12" s="50">
        <v>0</v>
      </c>
      <c r="Q12" s="50">
        <v>0</v>
      </c>
      <c r="R12" s="49">
        <v>1</v>
      </c>
      <c r="S12" s="49">
        <v>0</v>
      </c>
      <c r="T12" s="49">
        <v>3</v>
      </c>
      <c r="U12" s="49">
        <v>3</v>
      </c>
      <c r="V12" s="49">
        <v>1</v>
      </c>
      <c r="W12" s="50">
        <v>0.666667</v>
      </c>
      <c r="X12" s="50">
        <v>0.5</v>
      </c>
      <c r="Y12" s="81" t="s">
        <v>1420</v>
      </c>
      <c r="Z12" s="81" t="s">
        <v>527</v>
      </c>
      <c r="AA12" s="81"/>
      <c r="AB12" s="90" t="s">
        <v>1555</v>
      </c>
      <c r="AC12" s="90" t="s">
        <v>1627</v>
      </c>
      <c r="AD12" s="90"/>
      <c r="AE12" s="90" t="s">
        <v>307</v>
      </c>
      <c r="AF12" s="90" t="s">
        <v>1684</v>
      </c>
      <c r="AG12" s="112">
        <v>2</v>
      </c>
      <c r="AH12" s="115">
        <v>5.882352941176471</v>
      </c>
      <c r="AI12" s="112">
        <v>2</v>
      </c>
      <c r="AJ12" s="115">
        <v>5.882352941176471</v>
      </c>
      <c r="AK12" s="112">
        <v>0</v>
      </c>
      <c r="AL12" s="115">
        <v>0</v>
      </c>
      <c r="AM12" s="112">
        <v>30</v>
      </c>
      <c r="AN12" s="115">
        <v>88.23529411764706</v>
      </c>
      <c r="AO12" s="112">
        <v>34</v>
      </c>
    </row>
    <row r="13" spans="1:41" ht="15">
      <c r="A13" s="66" t="s">
        <v>1387</v>
      </c>
      <c r="B13" s="67" t="s">
        <v>1407</v>
      </c>
      <c r="C13" s="67" t="s">
        <v>56</v>
      </c>
      <c r="D13" s="108"/>
      <c r="E13" s="14"/>
      <c r="F13" s="15" t="s">
        <v>2150</v>
      </c>
      <c r="G13" s="64"/>
      <c r="H13" s="64"/>
      <c r="I13" s="109">
        <v>13</v>
      </c>
      <c r="J13" s="79"/>
      <c r="K13" s="49">
        <v>2</v>
      </c>
      <c r="L13" s="49">
        <v>2</v>
      </c>
      <c r="M13" s="49">
        <v>0</v>
      </c>
      <c r="N13" s="49">
        <v>2</v>
      </c>
      <c r="O13" s="49">
        <v>1</v>
      </c>
      <c r="P13" s="50">
        <v>0</v>
      </c>
      <c r="Q13" s="50">
        <v>0</v>
      </c>
      <c r="R13" s="49">
        <v>1</v>
      </c>
      <c r="S13" s="49">
        <v>0</v>
      </c>
      <c r="T13" s="49">
        <v>2</v>
      </c>
      <c r="U13" s="49">
        <v>2</v>
      </c>
      <c r="V13" s="49">
        <v>1</v>
      </c>
      <c r="W13" s="50">
        <v>0.5</v>
      </c>
      <c r="X13" s="50">
        <v>0.5</v>
      </c>
      <c r="Y13" s="81" t="s">
        <v>519</v>
      </c>
      <c r="Z13" s="81" t="s">
        <v>524</v>
      </c>
      <c r="AA13" s="81"/>
      <c r="AB13" s="90" t="s">
        <v>1556</v>
      </c>
      <c r="AC13" s="90" t="s">
        <v>1628</v>
      </c>
      <c r="AD13" s="90"/>
      <c r="AE13" s="90"/>
      <c r="AF13" s="90" t="s">
        <v>1685</v>
      </c>
      <c r="AG13" s="112">
        <v>2</v>
      </c>
      <c r="AH13" s="115">
        <v>12.5</v>
      </c>
      <c r="AI13" s="112">
        <v>0</v>
      </c>
      <c r="AJ13" s="115">
        <v>0</v>
      </c>
      <c r="AK13" s="112">
        <v>0</v>
      </c>
      <c r="AL13" s="115">
        <v>0</v>
      </c>
      <c r="AM13" s="112">
        <v>14</v>
      </c>
      <c r="AN13" s="115">
        <v>87.5</v>
      </c>
      <c r="AO13" s="112">
        <v>16</v>
      </c>
    </row>
    <row r="14" spans="1:41" ht="15">
      <c r="A14" s="66" t="s">
        <v>1388</v>
      </c>
      <c r="B14" s="67" t="s">
        <v>1408</v>
      </c>
      <c r="C14" s="67" t="s">
        <v>56</v>
      </c>
      <c r="D14" s="108"/>
      <c r="E14" s="14"/>
      <c r="F14" s="15" t="s">
        <v>1388</v>
      </c>
      <c r="G14" s="64"/>
      <c r="H14" s="64"/>
      <c r="I14" s="109">
        <v>14</v>
      </c>
      <c r="J14" s="79"/>
      <c r="K14" s="49">
        <v>2</v>
      </c>
      <c r="L14" s="49">
        <v>1</v>
      </c>
      <c r="M14" s="49">
        <v>0</v>
      </c>
      <c r="N14" s="49">
        <v>1</v>
      </c>
      <c r="O14" s="49">
        <v>0</v>
      </c>
      <c r="P14" s="50">
        <v>0</v>
      </c>
      <c r="Q14" s="50">
        <v>0</v>
      </c>
      <c r="R14" s="49">
        <v>1</v>
      </c>
      <c r="S14" s="49">
        <v>0</v>
      </c>
      <c r="T14" s="49">
        <v>2</v>
      </c>
      <c r="U14" s="49">
        <v>1</v>
      </c>
      <c r="V14" s="49">
        <v>1</v>
      </c>
      <c r="W14" s="50">
        <v>0.5</v>
      </c>
      <c r="X14" s="50">
        <v>0.5</v>
      </c>
      <c r="Y14" s="81"/>
      <c r="Z14" s="81"/>
      <c r="AA14" s="81"/>
      <c r="AB14" s="90" t="s">
        <v>957</v>
      </c>
      <c r="AC14" s="90" t="s">
        <v>957</v>
      </c>
      <c r="AD14" s="90" t="s">
        <v>327</v>
      </c>
      <c r="AE14" s="90"/>
      <c r="AF14" s="90" t="s">
        <v>1686</v>
      </c>
      <c r="AG14" s="112">
        <v>0</v>
      </c>
      <c r="AH14" s="115">
        <v>0</v>
      </c>
      <c r="AI14" s="112">
        <v>0</v>
      </c>
      <c r="AJ14" s="115">
        <v>0</v>
      </c>
      <c r="AK14" s="112">
        <v>0</v>
      </c>
      <c r="AL14" s="115">
        <v>0</v>
      </c>
      <c r="AM14" s="112">
        <v>4</v>
      </c>
      <c r="AN14" s="115">
        <v>100</v>
      </c>
      <c r="AO14" s="112">
        <v>4</v>
      </c>
    </row>
    <row r="15" spans="1:41" ht="15">
      <c r="A15" s="66" t="s">
        <v>1389</v>
      </c>
      <c r="B15" s="67" t="s">
        <v>1397</v>
      </c>
      <c r="C15" s="67" t="s">
        <v>59</v>
      </c>
      <c r="D15" s="108"/>
      <c r="E15" s="14"/>
      <c r="F15" s="15" t="s">
        <v>2151</v>
      </c>
      <c r="G15" s="64"/>
      <c r="H15" s="64"/>
      <c r="I15" s="109">
        <v>15</v>
      </c>
      <c r="J15" s="79"/>
      <c r="K15" s="49">
        <v>2</v>
      </c>
      <c r="L15" s="49">
        <v>1</v>
      </c>
      <c r="M15" s="49">
        <v>0</v>
      </c>
      <c r="N15" s="49">
        <v>1</v>
      </c>
      <c r="O15" s="49">
        <v>0</v>
      </c>
      <c r="P15" s="50">
        <v>0</v>
      </c>
      <c r="Q15" s="50">
        <v>0</v>
      </c>
      <c r="R15" s="49">
        <v>1</v>
      </c>
      <c r="S15" s="49">
        <v>0</v>
      </c>
      <c r="T15" s="49">
        <v>2</v>
      </c>
      <c r="U15" s="49">
        <v>1</v>
      </c>
      <c r="V15" s="49">
        <v>1</v>
      </c>
      <c r="W15" s="50">
        <v>0.5</v>
      </c>
      <c r="X15" s="50">
        <v>0.5</v>
      </c>
      <c r="Y15" s="81"/>
      <c r="Z15" s="81"/>
      <c r="AA15" s="81"/>
      <c r="AB15" s="90" t="s">
        <v>1557</v>
      </c>
      <c r="AC15" s="90" t="s">
        <v>957</v>
      </c>
      <c r="AD15" s="90" t="s">
        <v>326</v>
      </c>
      <c r="AE15" s="90"/>
      <c r="AF15" s="90" t="s">
        <v>1687</v>
      </c>
      <c r="AG15" s="112">
        <v>2</v>
      </c>
      <c r="AH15" s="115">
        <v>4.444444444444445</v>
      </c>
      <c r="AI15" s="112">
        <v>0</v>
      </c>
      <c r="AJ15" s="115">
        <v>0</v>
      </c>
      <c r="AK15" s="112">
        <v>0</v>
      </c>
      <c r="AL15" s="115">
        <v>0</v>
      </c>
      <c r="AM15" s="112">
        <v>43</v>
      </c>
      <c r="AN15" s="115">
        <v>95.55555555555556</v>
      </c>
      <c r="AO15" s="112">
        <v>45</v>
      </c>
    </row>
    <row r="16" spans="1:41" ht="15">
      <c r="A16" s="66" t="s">
        <v>1390</v>
      </c>
      <c r="B16" s="67" t="s">
        <v>1398</v>
      </c>
      <c r="C16" s="67" t="s">
        <v>59</v>
      </c>
      <c r="D16" s="108"/>
      <c r="E16" s="14"/>
      <c r="F16" s="15" t="s">
        <v>1390</v>
      </c>
      <c r="G16" s="64"/>
      <c r="H16" s="64"/>
      <c r="I16" s="109">
        <v>16</v>
      </c>
      <c r="J16" s="79"/>
      <c r="K16" s="49">
        <v>2</v>
      </c>
      <c r="L16" s="49">
        <v>1</v>
      </c>
      <c r="M16" s="49">
        <v>0</v>
      </c>
      <c r="N16" s="49">
        <v>1</v>
      </c>
      <c r="O16" s="49">
        <v>0</v>
      </c>
      <c r="P16" s="50">
        <v>0</v>
      </c>
      <c r="Q16" s="50">
        <v>0</v>
      </c>
      <c r="R16" s="49">
        <v>1</v>
      </c>
      <c r="S16" s="49">
        <v>0</v>
      </c>
      <c r="T16" s="49">
        <v>2</v>
      </c>
      <c r="U16" s="49">
        <v>1</v>
      </c>
      <c r="V16" s="49">
        <v>1</v>
      </c>
      <c r="W16" s="50">
        <v>0.5</v>
      </c>
      <c r="X16" s="50">
        <v>0.5</v>
      </c>
      <c r="Y16" s="81"/>
      <c r="Z16" s="81"/>
      <c r="AA16" s="81"/>
      <c r="AB16" s="90" t="s">
        <v>957</v>
      </c>
      <c r="AC16" s="90" t="s">
        <v>957</v>
      </c>
      <c r="AD16" s="90" t="s">
        <v>319</v>
      </c>
      <c r="AE16" s="90"/>
      <c r="AF16" s="90" t="s">
        <v>1688</v>
      </c>
      <c r="AG16" s="112">
        <v>1</v>
      </c>
      <c r="AH16" s="115">
        <v>11.11111111111111</v>
      </c>
      <c r="AI16" s="112">
        <v>0</v>
      </c>
      <c r="AJ16" s="115">
        <v>0</v>
      </c>
      <c r="AK16" s="112">
        <v>0</v>
      </c>
      <c r="AL16" s="115">
        <v>0</v>
      </c>
      <c r="AM16" s="112">
        <v>8</v>
      </c>
      <c r="AN16" s="115">
        <v>88.88888888888889</v>
      </c>
      <c r="AO16" s="112">
        <v>9</v>
      </c>
    </row>
    <row r="17" spans="1:41" ht="15">
      <c r="A17" s="66" t="s">
        <v>1391</v>
      </c>
      <c r="B17" s="67" t="s">
        <v>1399</v>
      </c>
      <c r="C17" s="67" t="s">
        <v>59</v>
      </c>
      <c r="D17" s="108"/>
      <c r="E17" s="14"/>
      <c r="F17" s="15" t="s">
        <v>1391</v>
      </c>
      <c r="G17" s="64"/>
      <c r="H17" s="64"/>
      <c r="I17" s="109">
        <v>17</v>
      </c>
      <c r="J17" s="79"/>
      <c r="K17" s="49">
        <v>2</v>
      </c>
      <c r="L17" s="49">
        <v>1</v>
      </c>
      <c r="M17" s="49">
        <v>0</v>
      </c>
      <c r="N17" s="49">
        <v>1</v>
      </c>
      <c r="O17" s="49">
        <v>0</v>
      </c>
      <c r="P17" s="50">
        <v>0</v>
      </c>
      <c r="Q17" s="50">
        <v>0</v>
      </c>
      <c r="R17" s="49">
        <v>1</v>
      </c>
      <c r="S17" s="49">
        <v>0</v>
      </c>
      <c r="T17" s="49">
        <v>2</v>
      </c>
      <c r="U17" s="49">
        <v>1</v>
      </c>
      <c r="V17" s="49">
        <v>1</v>
      </c>
      <c r="W17" s="50">
        <v>0.5</v>
      </c>
      <c r="X17" s="50">
        <v>0.5</v>
      </c>
      <c r="Y17" s="81" t="s">
        <v>1423</v>
      </c>
      <c r="Z17" s="81" t="s">
        <v>523</v>
      </c>
      <c r="AA17" s="81"/>
      <c r="AB17" s="90" t="s">
        <v>957</v>
      </c>
      <c r="AC17" s="90" t="s">
        <v>957</v>
      </c>
      <c r="AD17" s="90"/>
      <c r="AE17" s="90" t="s">
        <v>318</v>
      </c>
      <c r="AF17" s="90" t="s">
        <v>1689</v>
      </c>
      <c r="AG17" s="112">
        <v>0</v>
      </c>
      <c r="AH17" s="115">
        <v>0</v>
      </c>
      <c r="AI17" s="112">
        <v>1</v>
      </c>
      <c r="AJ17" s="115">
        <v>4.3478260869565215</v>
      </c>
      <c r="AK17" s="112">
        <v>0</v>
      </c>
      <c r="AL17" s="115">
        <v>0</v>
      </c>
      <c r="AM17" s="112">
        <v>22</v>
      </c>
      <c r="AN17" s="115">
        <v>95.65217391304348</v>
      </c>
      <c r="AO17" s="112">
        <v>23</v>
      </c>
    </row>
    <row r="18" spans="1:41" ht="15">
      <c r="A18" s="66" t="s">
        <v>1392</v>
      </c>
      <c r="B18" s="67" t="s">
        <v>1400</v>
      </c>
      <c r="C18" s="67" t="s">
        <v>59</v>
      </c>
      <c r="D18" s="108"/>
      <c r="E18" s="14"/>
      <c r="F18" s="15" t="s">
        <v>2152</v>
      </c>
      <c r="G18" s="64"/>
      <c r="H18" s="64"/>
      <c r="I18" s="109">
        <v>18</v>
      </c>
      <c r="J18" s="79"/>
      <c r="K18" s="49">
        <v>2</v>
      </c>
      <c r="L18" s="49">
        <v>2</v>
      </c>
      <c r="M18" s="49">
        <v>0</v>
      </c>
      <c r="N18" s="49">
        <v>2</v>
      </c>
      <c r="O18" s="49">
        <v>1</v>
      </c>
      <c r="P18" s="50">
        <v>0</v>
      </c>
      <c r="Q18" s="50">
        <v>0</v>
      </c>
      <c r="R18" s="49">
        <v>1</v>
      </c>
      <c r="S18" s="49">
        <v>0</v>
      </c>
      <c r="T18" s="49">
        <v>2</v>
      </c>
      <c r="U18" s="49">
        <v>2</v>
      </c>
      <c r="V18" s="49">
        <v>1</v>
      </c>
      <c r="W18" s="50">
        <v>0.5</v>
      </c>
      <c r="X18" s="50">
        <v>0.5</v>
      </c>
      <c r="Y18" s="81"/>
      <c r="Z18" s="81"/>
      <c r="AA18" s="81"/>
      <c r="AB18" s="90" t="s">
        <v>1558</v>
      </c>
      <c r="AC18" s="90" t="s">
        <v>1629</v>
      </c>
      <c r="AD18" s="90"/>
      <c r="AE18" s="90"/>
      <c r="AF18" s="90" t="s">
        <v>1690</v>
      </c>
      <c r="AG18" s="112">
        <v>0</v>
      </c>
      <c r="AH18" s="115">
        <v>0</v>
      </c>
      <c r="AI18" s="112">
        <v>2</v>
      </c>
      <c r="AJ18" s="115">
        <v>5.555555555555555</v>
      </c>
      <c r="AK18" s="112">
        <v>0</v>
      </c>
      <c r="AL18" s="115">
        <v>0</v>
      </c>
      <c r="AM18" s="112">
        <v>34</v>
      </c>
      <c r="AN18" s="115">
        <v>94.44444444444444</v>
      </c>
      <c r="AO18" s="112">
        <v>36</v>
      </c>
    </row>
    <row r="19" spans="1:41" ht="15">
      <c r="A19" s="66" t="s">
        <v>1393</v>
      </c>
      <c r="B19" s="67" t="s">
        <v>1401</v>
      </c>
      <c r="C19" s="67" t="s">
        <v>59</v>
      </c>
      <c r="D19" s="108"/>
      <c r="E19" s="14"/>
      <c r="F19" s="15" t="s">
        <v>1393</v>
      </c>
      <c r="G19" s="64"/>
      <c r="H19" s="64"/>
      <c r="I19" s="109">
        <v>19</v>
      </c>
      <c r="J19" s="79"/>
      <c r="K19" s="49">
        <v>2</v>
      </c>
      <c r="L19" s="49">
        <v>1</v>
      </c>
      <c r="M19" s="49">
        <v>0</v>
      </c>
      <c r="N19" s="49">
        <v>1</v>
      </c>
      <c r="O19" s="49">
        <v>0</v>
      </c>
      <c r="P19" s="50">
        <v>0</v>
      </c>
      <c r="Q19" s="50">
        <v>0</v>
      </c>
      <c r="R19" s="49">
        <v>1</v>
      </c>
      <c r="S19" s="49">
        <v>0</v>
      </c>
      <c r="T19" s="49">
        <v>2</v>
      </c>
      <c r="U19" s="49">
        <v>1</v>
      </c>
      <c r="V19" s="49">
        <v>1</v>
      </c>
      <c r="W19" s="50">
        <v>0.5</v>
      </c>
      <c r="X19" s="50">
        <v>0.5</v>
      </c>
      <c r="Y19" s="81" t="s">
        <v>1453</v>
      </c>
      <c r="Z19" s="81" t="s">
        <v>528</v>
      </c>
      <c r="AA19" s="81" t="s">
        <v>536</v>
      </c>
      <c r="AB19" s="90" t="s">
        <v>957</v>
      </c>
      <c r="AC19" s="90" t="s">
        <v>957</v>
      </c>
      <c r="AD19" s="90" t="s">
        <v>309</v>
      </c>
      <c r="AE19" s="90"/>
      <c r="AF19" s="90" t="s">
        <v>1691</v>
      </c>
      <c r="AG19" s="112">
        <v>1</v>
      </c>
      <c r="AH19" s="115">
        <v>4.761904761904762</v>
      </c>
      <c r="AI19" s="112">
        <v>0</v>
      </c>
      <c r="AJ19" s="115">
        <v>0</v>
      </c>
      <c r="AK19" s="112">
        <v>0</v>
      </c>
      <c r="AL19" s="115">
        <v>0</v>
      </c>
      <c r="AM19" s="112">
        <v>20</v>
      </c>
      <c r="AN19" s="115">
        <v>95.23809523809524</v>
      </c>
      <c r="AO19" s="112">
        <v>21</v>
      </c>
    </row>
    <row r="20" spans="1:41" ht="15">
      <c r="A20" s="66" t="s">
        <v>1394</v>
      </c>
      <c r="B20" s="67" t="s">
        <v>1402</v>
      </c>
      <c r="C20" s="67" t="s">
        <v>59</v>
      </c>
      <c r="D20" s="108"/>
      <c r="E20" s="14"/>
      <c r="F20" s="15" t="s">
        <v>2153</v>
      </c>
      <c r="G20" s="64"/>
      <c r="H20" s="64"/>
      <c r="I20" s="109">
        <v>20</v>
      </c>
      <c r="J20" s="79"/>
      <c r="K20" s="49">
        <v>2</v>
      </c>
      <c r="L20" s="49">
        <v>2</v>
      </c>
      <c r="M20" s="49">
        <v>0</v>
      </c>
      <c r="N20" s="49">
        <v>2</v>
      </c>
      <c r="O20" s="49">
        <v>1</v>
      </c>
      <c r="P20" s="50">
        <v>0</v>
      </c>
      <c r="Q20" s="50">
        <v>0</v>
      </c>
      <c r="R20" s="49">
        <v>1</v>
      </c>
      <c r="S20" s="49">
        <v>0</v>
      </c>
      <c r="T20" s="49">
        <v>2</v>
      </c>
      <c r="U20" s="49">
        <v>2</v>
      </c>
      <c r="V20" s="49">
        <v>1</v>
      </c>
      <c r="W20" s="50">
        <v>0.5</v>
      </c>
      <c r="X20" s="50">
        <v>0.5</v>
      </c>
      <c r="Y20" s="81" t="s">
        <v>1454</v>
      </c>
      <c r="Z20" s="81" t="s">
        <v>1472</v>
      </c>
      <c r="AA20" s="81" t="s">
        <v>1493</v>
      </c>
      <c r="AB20" s="90" t="s">
        <v>1559</v>
      </c>
      <c r="AC20" s="90" t="s">
        <v>1563</v>
      </c>
      <c r="AD20" s="90"/>
      <c r="AE20" s="90" t="s">
        <v>268</v>
      </c>
      <c r="AF20" s="90" t="s">
        <v>1692</v>
      </c>
      <c r="AG20" s="112">
        <v>1</v>
      </c>
      <c r="AH20" s="115">
        <v>1.4492753623188406</v>
      </c>
      <c r="AI20" s="112">
        <v>1</v>
      </c>
      <c r="AJ20" s="115">
        <v>1.4492753623188406</v>
      </c>
      <c r="AK20" s="112">
        <v>0</v>
      </c>
      <c r="AL20" s="115">
        <v>0</v>
      </c>
      <c r="AM20" s="112">
        <v>67</v>
      </c>
      <c r="AN20" s="115">
        <v>97.10144927536231</v>
      </c>
      <c r="AO20" s="112">
        <v>69</v>
      </c>
    </row>
    <row r="21" spans="1:41" ht="15">
      <c r="A21" s="66" t="s">
        <v>1395</v>
      </c>
      <c r="B21" s="67" t="s">
        <v>1403</v>
      </c>
      <c r="C21" s="67" t="s">
        <v>59</v>
      </c>
      <c r="D21" s="108"/>
      <c r="E21" s="14"/>
      <c r="F21" s="15" t="s">
        <v>2154</v>
      </c>
      <c r="G21" s="64"/>
      <c r="H21" s="64"/>
      <c r="I21" s="109">
        <v>21</v>
      </c>
      <c r="J21" s="79"/>
      <c r="K21" s="49">
        <v>2</v>
      </c>
      <c r="L21" s="49">
        <v>2</v>
      </c>
      <c r="M21" s="49">
        <v>0</v>
      </c>
      <c r="N21" s="49">
        <v>2</v>
      </c>
      <c r="O21" s="49">
        <v>1</v>
      </c>
      <c r="P21" s="50">
        <v>0</v>
      </c>
      <c r="Q21" s="50">
        <v>0</v>
      </c>
      <c r="R21" s="49">
        <v>1</v>
      </c>
      <c r="S21" s="49">
        <v>0</v>
      </c>
      <c r="T21" s="49">
        <v>2</v>
      </c>
      <c r="U21" s="49">
        <v>2</v>
      </c>
      <c r="V21" s="49">
        <v>1</v>
      </c>
      <c r="W21" s="50">
        <v>0.5</v>
      </c>
      <c r="X21" s="50">
        <v>0.5</v>
      </c>
      <c r="Y21" s="81" t="s">
        <v>1421</v>
      </c>
      <c r="Z21" s="81" t="s">
        <v>524</v>
      </c>
      <c r="AA21" s="81" t="s">
        <v>532</v>
      </c>
      <c r="AB21" s="90" t="s">
        <v>1560</v>
      </c>
      <c r="AC21" s="90" t="s">
        <v>1630</v>
      </c>
      <c r="AD21" s="90"/>
      <c r="AE21" s="90"/>
      <c r="AF21" s="90" t="s">
        <v>1693</v>
      </c>
      <c r="AG21" s="112">
        <v>0</v>
      </c>
      <c r="AH21" s="115">
        <v>0</v>
      </c>
      <c r="AI21" s="112">
        <v>2</v>
      </c>
      <c r="AJ21" s="115">
        <v>5.882352941176471</v>
      </c>
      <c r="AK21" s="112">
        <v>0</v>
      </c>
      <c r="AL21" s="115">
        <v>0</v>
      </c>
      <c r="AM21" s="112">
        <v>32</v>
      </c>
      <c r="AN21" s="115">
        <v>94.11764705882354</v>
      </c>
      <c r="AO21" s="112">
        <v>34</v>
      </c>
    </row>
    <row r="22" spans="1:41" ht="15">
      <c r="A22" s="66" t="s">
        <v>1396</v>
      </c>
      <c r="B22" s="67" t="s">
        <v>1404</v>
      </c>
      <c r="C22" s="67" t="s">
        <v>59</v>
      </c>
      <c r="D22" s="108"/>
      <c r="E22" s="14"/>
      <c r="F22" s="15" t="s">
        <v>2155</v>
      </c>
      <c r="G22" s="64"/>
      <c r="H22" s="64"/>
      <c r="I22" s="109">
        <v>22</v>
      </c>
      <c r="J22" s="79"/>
      <c r="K22" s="49">
        <v>2</v>
      </c>
      <c r="L22" s="49">
        <v>1</v>
      </c>
      <c r="M22" s="49">
        <v>2</v>
      </c>
      <c r="N22" s="49">
        <v>3</v>
      </c>
      <c r="O22" s="49">
        <v>2</v>
      </c>
      <c r="P22" s="50">
        <v>0</v>
      </c>
      <c r="Q22" s="50">
        <v>0</v>
      </c>
      <c r="R22" s="49">
        <v>1</v>
      </c>
      <c r="S22" s="49">
        <v>0</v>
      </c>
      <c r="T22" s="49">
        <v>2</v>
      </c>
      <c r="U22" s="49">
        <v>3</v>
      </c>
      <c r="V22" s="49">
        <v>1</v>
      </c>
      <c r="W22" s="50">
        <v>0.5</v>
      </c>
      <c r="X22" s="50">
        <v>0.5</v>
      </c>
      <c r="Y22" s="81"/>
      <c r="Z22" s="81"/>
      <c r="AA22" s="81"/>
      <c r="AB22" s="90" t="s">
        <v>1561</v>
      </c>
      <c r="AC22" s="90" t="s">
        <v>1631</v>
      </c>
      <c r="AD22" s="90"/>
      <c r="AE22" s="90"/>
      <c r="AF22" s="90" t="s">
        <v>1694</v>
      </c>
      <c r="AG22" s="112">
        <v>0</v>
      </c>
      <c r="AH22" s="115">
        <v>0</v>
      </c>
      <c r="AI22" s="112">
        <v>3</v>
      </c>
      <c r="AJ22" s="115">
        <v>2.3622047244094486</v>
      </c>
      <c r="AK22" s="112">
        <v>1</v>
      </c>
      <c r="AL22" s="115">
        <v>0.7874015748031497</v>
      </c>
      <c r="AM22" s="112">
        <v>124</v>
      </c>
      <c r="AN22" s="115">
        <v>97.63779527559055</v>
      </c>
      <c r="AO22" s="112">
        <v>127</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1377</v>
      </c>
      <c r="B2" s="90" t="s">
        <v>276</v>
      </c>
      <c r="C2" s="81">
        <f>VLOOKUP(GroupVertices[[#This Row],[Vertex]],Vertices[],MATCH("ID",Vertices[[#Headers],[Vertex]:[Vertex Content Word Count]],0),FALSE)</f>
        <v>34</v>
      </c>
    </row>
    <row r="3" spans="1:3" ht="15">
      <c r="A3" s="82" t="s">
        <v>1377</v>
      </c>
      <c r="B3" s="90" t="s">
        <v>275</v>
      </c>
      <c r="C3" s="81">
        <f>VLOOKUP(GroupVertices[[#This Row],[Vertex]],Vertices[],MATCH("ID",Vertices[[#Headers],[Vertex]:[Vertex Content Word Count]],0),FALSE)</f>
        <v>13</v>
      </c>
    </row>
    <row r="4" spans="1:3" ht="15">
      <c r="A4" s="82" t="s">
        <v>1377</v>
      </c>
      <c r="B4" s="90" t="s">
        <v>273</v>
      </c>
      <c r="C4" s="81">
        <f>VLOOKUP(GroupVertices[[#This Row],[Vertex]],Vertices[],MATCH("ID",Vertices[[#Headers],[Vertex]:[Vertex Content Word Count]],0),FALSE)</f>
        <v>12</v>
      </c>
    </row>
    <row r="5" spans="1:3" ht="15">
      <c r="A5" s="82" t="s">
        <v>1377</v>
      </c>
      <c r="B5" s="90" t="s">
        <v>274</v>
      </c>
      <c r="C5" s="81">
        <f>VLOOKUP(GroupVertices[[#This Row],[Vertex]],Vertices[],MATCH("ID",Vertices[[#Headers],[Vertex]:[Vertex Content Word Count]],0),FALSE)</f>
        <v>11</v>
      </c>
    </row>
    <row r="6" spans="1:3" ht="15">
      <c r="A6" s="82" t="s">
        <v>1377</v>
      </c>
      <c r="B6" s="90" t="s">
        <v>272</v>
      </c>
      <c r="C6" s="81">
        <f>VLOOKUP(GroupVertices[[#This Row],[Vertex]],Vertices[],MATCH("ID",Vertices[[#Headers],[Vertex]:[Vertex Content Word Count]],0),FALSE)</f>
        <v>33</v>
      </c>
    </row>
    <row r="7" spans="1:3" ht="15">
      <c r="A7" s="82" t="s">
        <v>1377</v>
      </c>
      <c r="B7" s="90" t="s">
        <v>308</v>
      </c>
      <c r="C7" s="81">
        <f>VLOOKUP(GroupVertices[[#This Row],[Vertex]],Vertices[],MATCH("ID",Vertices[[#Headers],[Vertex]:[Vertex Content Word Count]],0),FALSE)</f>
        <v>32</v>
      </c>
    </row>
    <row r="8" spans="1:3" ht="15">
      <c r="A8" s="82" t="s">
        <v>1377</v>
      </c>
      <c r="B8" s="90" t="s">
        <v>271</v>
      </c>
      <c r="C8" s="81">
        <f>VLOOKUP(GroupVertices[[#This Row],[Vertex]],Vertices[],MATCH("ID",Vertices[[#Headers],[Vertex]:[Vertex Content Word Count]],0),FALSE)</f>
        <v>31</v>
      </c>
    </row>
    <row r="9" spans="1:3" ht="15">
      <c r="A9" s="82" t="s">
        <v>1377</v>
      </c>
      <c r="B9" s="90" t="s">
        <v>264</v>
      </c>
      <c r="C9" s="81">
        <f>VLOOKUP(GroupVertices[[#This Row],[Vertex]],Vertices[],MATCH("ID",Vertices[[#Headers],[Vertex]:[Vertex Content Word Count]],0),FALSE)</f>
        <v>26</v>
      </c>
    </row>
    <row r="10" spans="1:3" ht="15">
      <c r="A10" s="82" t="s">
        <v>1377</v>
      </c>
      <c r="B10" s="90" t="s">
        <v>263</v>
      </c>
      <c r="C10" s="81">
        <f>VLOOKUP(GroupVertices[[#This Row],[Vertex]],Vertices[],MATCH("ID",Vertices[[#Headers],[Vertex]:[Vertex Content Word Count]],0),FALSE)</f>
        <v>25</v>
      </c>
    </row>
    <row r="11" spans="1:3" ht="15">
      <c r="A11" s="82" t="s">
        <v>1377</v>
      </c>
      <c r="B11" s="90" t="s">
        <v>259</v>
      </c>
      <c r="C11" s="81">
        <f>VLOOKUP(GroupVertices[[#This Row],[Vertex]],Vertices[],MATCH("ID",Vertices[[#Headers],[Vertex]:[Vertex Content Word Count]],0),FALSE)</f>
        <v>20</v>
      </c>
    </row>
    <row r="12" spans="1:3" ht="15">
      <c r="A12" s="82" t="s">
        <v>1377</v>
      </c>
      <c r="B12" s="90" t="s">
        <v>258</v>
      </c>
      <c r="C12" s="81">
        <f>VLOOKUP(GroupVertices[[#This Row],[Vertex]],Vertices[],MATCH("ID",Vertices[[#Headers],[Vertex]:[Vertex Content Word Count]],0),FALSE)</f>
        <v>19</v>
      </c>
    </row>
    <row r="13" spans="1:3" ht="15">
      <c r="A13" s="82" t="s">
        <v>1377</v>
      </c>
      <c r="B13" s="90" t="s">
        <v>257</v>
      </c>
      <c r="C13" s="81">
        <f>VLOOKUP(GroupVertices[[#This Row],[Vertex]],Vertices[],MATCH("ID",Vertices[[#Headers],[Vertex]:[Vertex Content Word Count]],0),FALSE)</f>
        <v>18</v>
      </c>
    </row>
    <row r="14" spans="1:3" ht="15">
      <c r="A14" s="82" t="s">
        <v>1377</v>
      </c>
      <c r="B14" s="90" t="s">
        <v>256</v>
      </c>
      <c r="C14" s="81">
        <f>VLOOKUP(GroupVertices[[#This Row],[Vertex]],Vertices[],MATCH("ID",Vertices[[#Headers],[Vertex]:[Vertex Content Word Count]],0),FALSE)</f>
        <v>17</v>
      </c>
    </row>
    <row r="15" spans="1:3" ht="15">
      <c r="A15" s="82" t="s">
        <v>1377</v>
      </c>
      <c r="B15" s="90" t="s">
        <v>255</v>
      </c>
      <c r="C15" s="81">
        <f>VLOOKUP(GroupVertices[[#This Row],[Vertex]],Vertices[],MATCH("ID",Vertices[[#Headers],[Vertex]:[Vertex Content Word Count]],0),FALSE)</f>
        <v>16</v>
      </c>
    </row>
    <row r="16" spans="1:3" ht="15">
      <c r="A16" s="82" t="s">
        <v>1377</v>
      </c>
      <c r="B16" s="90" t="s">
        <v>254</v>
      </c>
      <c r="C16" s="81">
        <f>VLOOKUP(GroupVertices[[#This Row],[Vertex]],Vertices[],MATCH("ID",Vertices[[#Headers],[Vertex]:[Vertex Content Word Count]],0),FALSE)</f>
        <v>15</v>
      </c>
    </row>
    <row r="17" spans="1:3" ht="15">
      <c r="A17" s="82" t="s">
        <v>1377</v>
      </c>
      <c r="B17" s="90" t="s">
        <v>253</v>
      </c>
      <c r="C17" s="81">
        <f>VLOOKUP(GroupVertices[[#This Row],[Vertex]],Vertices[],MATCH("ID",Vertices[[#Headers],[Vertex]:[Vertex Content Word Count]],0),FALSE)</f>
        <v>14</v>
      </c>
    </row>
    <row r="18" spans="1:3" ht="15">
      <c r="A18" s="82" t="s">
        <v>1377</v>
      </c>
      <c r="B18" s="90" t="s">
        <v>252</v>
      </c>
      <c r="C18" s="81">
        <f>VLOOKUP(GroupVertices[[#This Row],[Vertex]],Vertices[],MATCH("ID",Vertices[[#Headers],[Vertex]:[Vertex Content Word Count]],0),FALSE)</f>
        <v>10</v>
      </c>
    </row>
    <row r="19" spans="1:3" ht="15">
      <c r="A19" s="82" t="s">
        <v>1378</v>
      </c>
      <c r="B19" s="90" t="s">
        <v>306</v>
      </c>
      <c r="C19" s="81">
        <f>VLOOKUP(GroupVertices[[#This Row],[Vertex]],Vertices[],MATCH("ID",Vertices[[#Headers],[Vertex]:[Vertex Content Word Count]],0),FALSE)</f>
        <v>3</v>
      </c>
    </row>
    <row r="20" spans="1:3" ht="15">
      <c r="A20" s="82" t="s">
        <v>1378</v>
      </c>
      <c r="B20" s="90" t="s">
        <v>278</v>
      </c>
      <c r="C20" s="81">
        <f>VLOOKUP(GroupVertices[[#This Row],[Vertex]],Vertices[],MATCH("ID",Vertices[[#Headers],[Vertex]:[Vertex Content Word Count]],0),FALSE)</f>
        <v>37</v>
      </c>
    </row>
    <row r="21" spans="1:3" ht="15">
      <c r="A21" s="82" t="s">
        <v>1378</v>
      </c>
      <c r="B21" s="90" t="s">
        <v>279</v>
      </c>
      <c r="C21" s="81">
        <f>VLOOKUP(GroupVertices[[#This Row],[Vertex]],Vertices[],MATCH("ID",Vertices[[#Headers],[Vertex]:[Vertex Content Word Count]],0),FALSE)</f>
        <v>38</v>
      </c>
    </row>
    <row r="22" spans="1:3" ht="15">
      <c r="A22" s="82" t="s">
        <v>1378</v>
      </c>
      <c r="B22" s="90" t="s">
        <v>282</v>
      </c>
      <c r="C22" s="81">
        <f>VLOOKUP(GroupVertices[[#This Row],[Vertex]],Vertices[],MATCH("ID",Vertices[[#Headers],[Vertex]:[Vertex Content Word Count]],0),FALSE)</f>
        <v>43</v>
      </c>
    </row>
    <row r="23" spans="1:3" ht="15">
      <c r="A23" s="82" t="s">
        <v>1378</v>
      </c>
      <c r="B23" s="90" t="s">
        <v>286</v>
      </c>
      <c r="C23" s="81">
        <f>VLOOKUP(GroupVertices[[#This Row],[Vertex]],Vertices[],MATCH("ID",Vertices[[#Headers],[Vertex]:[Vertex Content Word Count]],0),FALSE)</f>
        <v>51</v>
      </c>
    </row>
    <row r="24" spans="1:3" ht="15">
      <c r="A24" s="82" t="s">
        <v>1378</v>
      </c>
      <c r="B24" s="90" t="s">
        <v>289</v>
      </c>
      <c r="C24" s="81">
        <f>VLOOKUP(GroupVertices[[#This Row],[Vertex]],Vertices[],MATCH("ID",Vertices[[#Headers],[Vertex]:[Vertex Content Word Count]],0),FALSE)</f>
        <v>56</v>
      </c>
    </row>
    <row r="25" spans="1:3" ht="15">
      <c r="A25" s="82" t="s">
        <v>1378</v>
      </c>
      <c r="B25" s="90" t="s">
        <v>293</v>
      </c>
      <c r="C25" s="81">
        <f>VLOOKUP(GroupVertices[[#This Row],[Vertex]],Vertices[],MATCH("ID",Vertices[[#Headers],[Vertex]:[Vertex Content Word Count]],0),FALSE)</f>
        <v>61</v>
      </c>
    </row>
    <row r="26" spans="1:3" ht="15">
      <c r="A26" s="82" t="s">
        <v>1378</v>
      </c>
      <c r="B26" s="90" t="s">
        <v>305</v>
      </c>
      <c r="C26" s="81">
        <f>VLOOKUP(GroupVertices[[#This Row],[Vertex]],Vertices[],MATCH("ID",Vertices[[#Headers],[Vertex]:[Vertex Content Word Count]],0),FALSE)</f>
        <v>82</v>
      </c>
    </row>
    <row r="27" spans="1:3" ht="15">
      <c r="A27" s="82" t="s">
        <v>1379</v>
      </c>
      <c r="B27" s="90" t="s">
        <v>302</v>
      </c>
      <c r="C27" s="81">
        <f>VLOOKUP(GroupVertices[[#This Row],[Vertex]],Vertices[],MATCH("ID",Vertices[[#Headers],[Vertex]:[Vertex Content Word Count]],0),FALSE)</f>
        <v>78</v>
      </c>
    </row>
    <row r="28" spans="1:3" ht="15">
      <c r="A28" s="82" t="s">
        <v>1379</v>
      </c>
      <c r="B28" s="90" t="s">
        <v>328</v>
      </c>
      <c r="C28" s="81">
        <f>VLOOKUP(GroupVertices[[#This Row],[Vertex]],Vertices[],MATCH("ID",Vertices[[#Headers],[Vertex]:[Vertex Content Word Count]],0),FALSE)</f>
        <v>79</v>
      </c>
    </row>
    <row r="29" spans="1:3" ht="15">
      <c r="A29" s="82" t="s">
        <v>1379</v>
      </c>
      <c r="B29" s="90" t="s">
        <v>321</v>
      </c>
      <c r="C29" s="81">
        <f>VLOOKUP(GroupVertices[[#This Row],[Vertex]],Vertices[],MATCH("ID",Vertices[[#Headers],[Vertex]:[Vertex Content Word Count]],0),FALSE)</f>
        <v>66</v>
      </c>
    </row>
    <row r="30" spans="1:3" ht="15">
      <c r="A30" s="82" t="s">
        <v>1379</v>
      </c>
      <c r="B30" s="90" t="s">
        <v>320</v>
      </c>
      <c r="C30" s="81">
        <f>VLOOKUP(GroupVertices[[#This Row],[Vertex]],Vertices[],MATCH("ID",Vertices[[#Headers],[Vertex]:[Vertex Content Word Count]],0),FALSE)</f>
        <v>65</v>
      </c>
    </row>
    <row r="31" spans="1:3" ht="15">
      <c r="A31" s="82" t="s">
        <v>1379</v>
      </c>
      <c r="B31" s="90" t="s">
        <v>297</v>
      </c>
      <c r="C31" s="81">
        <f>VLOOKUP(GroupVertices[[#This Row],[Vertex]],Vertices[],MATCH("ID",Vertices[[#Headers],[Vertex]:[Vertex Content Word Count]],0),FALSE)</f>
        <v>72</v>
      </c>
    </row>
    <row r="32" spans="1:3" ht="15">
      <c r="A32" s="82" t="s">
        <v>1379</v>
      </c>
      <c r="B32" s="90" t="s">
        <v>295</v>
      </c>
      <c r="C32" s="81">
        <f>VLOOKUP(GroupVertices[[#This Row],[Vertex]],Vertices[],MATCH("ID",Vertices[[#Headers],[Vertex]:[Vertex Content Word Count]],0),FALSE)</f>
        <v>64</v>
      </c>
    </row>
    <row r="33" spans="1:3" ht="15">
      <c r="A33" s="82" t="s">
        <v>1380</v>
      </c>
      <c r="B33" s="90" t="s">
        <v>296</v>
      </c>
      <c r="C33" s="81">
        <f>VLOOKUP(GroupVertices[[#This Row],[Vertex]],Vertices[],MATCH("ID",Vertices[[#Headers],[Vertex]:[Vertex Content Word Count]],0),FALSE)</f>
        <v>67</v>
      </c>
    </row>
    <row r="34" spans="1:3" ht="15">
      <c r="A34" s="82" t="s">
        <v>1380</v>
      </c>
      <c r="B34" s="90" t="s">
        <v>325</v>
      </c>
      <c r="C34" s="81">
        <f>VLOOKUP(GroupVertices[[#This Row],[Vertex]],Vertices[],MATCH("ID",Vertices[[#Headers],[Vertex]:[Vertex Content Word Count]],0),FALSE)</f>
        <v>71</v>
      </c>
    </row>
    <row r="35" spans="1:3" ht="15">
      <c r="A35" s="82" t="s">
        <v>1380</v>
      </c>
      <c r="B35" s="90" t="s">
        <v>324</v>
      </c>
      <c r="C35" s="81">
        <f>VLOOKUP(GroupVertices[[#This Row],[Vertex]],Vertices[],MATCH("ID",Vertices[[#Headers],[Vertex]:[Vertex Content Word Count]],0),FALSE)</f>
        <v>70</v>
      </c>
    </row>
    <row r="36" spans="1:3" ht="15">
      <c r="A36" s="82" t="s">
        <v>1380</v>
      </c>
      <c r="B36" s="90" t="s">
        <v>323</v>
      </c>
      <c r="C36" s="81">
        <f>VLOOKUP(GroupVertices[[#This Row],[Vertex]],Vertices[],MATCH("ID",Vertices[[#Headers],[Vertex]:[Vertex Content Word Count]],0),FALSE)</f>
        <v>69</v>
      </c>
    </row>
    <row r="37" spans="1:3" ht="15">
      <c r="A37" s="82" t="s">
        <v>1380</v>
      </c>
      <c r="B37" s="90" t="s">
        <v>322</v>
      </c>
      <c r="C37" s="81">
        <f>VLOOKUP(GroupVertices[[#This Row],[Vertex]],Vertices[],MATCH("ID",Vertices[[#Headers],[Vertex]:[Vertex Content Word Count]],0),FALSE)</f>
        <v>68</v>
      </c>
    </row>
    <row r="38" spans="1:3" ht="15">
      <c r="A38" s="82" t="s">
        <v>1381</v>
      </c>
      <c r="B38" s="90" t="s">
        <v>285</v>
      </c>
      <c r="C38" s="81">
        <f>VLOOKUP(GroupVertices[[#This Row],[Vertex]],Vertices[],MATCH("ID",Vertices[[#Headers],[Vertex]:[Vertex Content Word Count]],0),FALSE)</f>
        <v>46</v>
      </c>
    </row>
    <row r="39" spans="1:3" ht="15">
      <c r="A39" s="82" t="s">
        <v>1381</v>
      </c>
      <c r="B39" s="90" t="s">
        <v>315</v>
      </c>
      <c r="C39" s="81">
        <f>VLOOKUP(GroupVertices[[#This Row],[Vertex]],Vertices[],MATCH("ID",Vertices[[#Headers],[Vertex]:[Vertex Content Word Count]],0),FALSE)</f>
        <v>50</v>
      </c>
    </row>
    <row r="40" spans="1:3" ht="15">
      <c r="A40" s="82" t="s">
        <v>1381</v>
      </c>
      <c r="B40" s="90" t="s">
        <v>314</v>
      </c>
      <c r="C40" s="81">
        <f>VLOOKUP(GroupVertices[[#This Row],[Vertex]],Vertices[],MATCH("ID",Vertices[[#Headers],[Vertex]:[Vertex Content Word Count]],0),FALSE)</f>
        <v>49</v>
      </c>
    </row>
    <row r="41" spans="1:3" ht="15">
      <c r="A41" s="82" t="s">
        <v>1381</v>
      </c>
      <c r="B41" s="90" t="s">
        <v>313</v>
      </c>
      <c r="C41" s="81">
        <f>VLOOKUP(GroupVertices[[#This Row],[Vertex]],Vertices[],MATCH("ID",Vertices[[#Headers],[Vertex]:[Vertex Content Word Count]],0),FALSE)</f>
        <v>48</v>
      </c>
    </row>
    <row r="42" spans="1:3" ht="15">
      <c r="A42" s="82" t="s">
        <v>1381</v>
      </c>
      <c r="B42" s="90" t="s">
        <v>312</v>
      </c>
      <c r="C42" s="81">
        <f>VLOOKUP(GroupVertices[[#This Row],[Vertex]],Vertices[],MATCH("ID",Vertices[[#Headers],[Vertex]:[Vertex Content Word Count]],0),FALSE)</f>
        <v>47</v>
      </c>
    </row>
    <row r="43" spans="1:3" ht="15">
      <c r="A43" s="82" t="s">
        <v>1382</v>
      </c>
      <c r="B43" s="90" t="s">
        <v>266</v>
      </c>
      <c r="C43" s="81">
        <f>VLOOKUP(GroupVertices[[#This Row],[Vertex]],Vertices[],MATCH("ID",Vertices[[#Headers],[Vertex]:[Vertex Content Word Count]],0),FALSE)</f>
        <v>6</v>
      </c>
    </row>
    <row r="44" spans="1:3" ht="15">
      <c r="A44" s="82" t="s">
        <v>1382</v>
      </c>
      <c r="B44" s="90" t="s">
        <v>267</v>
      </c>
      <c r="C44" s="81">
        <f>VLOOKUP(GroupVertices[[#This Row],[Vertex]],Vertices[],MATCH("ID",Vertices[[#Headers],[Vertex]:[Vertex Content Word Count]],0),FALSE)</f>
        <v>27</v>
      </c>
    </row>
    <row r="45" spans="1:3" ht="15">
      <c r="A45" s="82" t="s">
        <v>1382</v>
      </c>
      <c r="B45" s="90" t="s">
        <v>250</v>
      </c>
      <c r="C45" s="81">
        <f>VLOOKUP(GroupVertices[[#This Row],[Vertex]],Vertices[],MATCH("ID",Vertices[[#Headers],[Vertex]:[Vertex Content Word Count]],0),FALSE)</f>
        <v>7</v>
      </c>
    </row>
    <row r="46" spans="1:3" ht="15">
      <c r="A46" s="82" t="s">
        <v>1382</v>
      </c>
      <c r="B46" s="90" t="s">
        <v>265</v>
      </c>
      <c r="C46" s="81">
        <f>VLOOKUP(GroupVertices[[#This Row],[Vertex]],Vertices[],MATCH("ID",Vertices[[#Headers],[Vertex]:[Vertex Content Word Count]],0),FALSE)</f>
        <v>5</v>
      </c>
    </row>
    <row r="47" spans="1:3" ht="15">
      <c r="A47" s="82" t="s">
        <v>1382</v>
      </c>
      <c r="B47" s="90" t="s">
        <v>249</v>
      </c>
      <c r="C47" s="81">
        <f>VLOOKUP(GroupVertices[[#This Row],[Vertex]],Vertices[],MATCH("ID",Vertices[[#Headers],[Vertex]:[Vertex Content Word Count]],0),FALSE)</f>
        <v>4</v>
      </c>
    </row>
    <row r="48" spans="1:3" ht="15">
      <c r="A48" s="82" t="s">
        <v>1383</v>
      </c>
      <c r="B48" s="90" t="s">
        <v>287</v>
      </c>
      <c r="C48" s="81">
        <f>VLOOKUP(GroupVertices[[#This Row],[Vertex]],Vertices[],MATCH("ID",Vertices[[#Headers],[Vertex]:[Vertex Content Word Count]],0),FALSE)</f>
        <v>52</v>
      </c>
    </row>
    <row r="49" spans="1:3" ht="15">
      <c r="A49" s="82" t="s">
        <v>1383</v>
      </c>
      <c r="B49" s="90" t="s">
        <v>317</v>
      </c>
      <c r="C49" s="81">
        <f>VLOOKUP(GroupVertices[[#This Row],[Vertex]],Vertices[],MATCH("ID",Vertices[[#Headers],[Vertex]:[Vertex Content Word Count]],0),FALSE)</f>
        <v>55</v>
      </c>
    </row>
    <row r="50" spans="1:3" ht="15">
      <c r="A50" s="82" t="s">
        <v>1383</v>
      </c>
      <c r="B50" s="90" t="s">
        <v>288</v>
      </c>
      <c r="C50" s="81">
        <f>VLOOKUP(GroupVertices[[#This Row],[Vertex]],Vertices[],MATCH("ID",Vertices[[#Headers],[Vertex]:[Vertex Content Word Count]],0),FALSE)</f>
        <v>54</v>
      </c>
    </row>
    <row r="51" spans="1:3" ht="15">
      <c r="A51" s="82" t="s">
        <v>1383</v>
      </c>
      <c r="B51" s="90" t="s">
        <v>316</v>
      </c>
      <c r="C51" s="81">
        <f>VLOOKUP(GroupVertices[[#This Row],[Vertex]],Vertices[],MATCH("ID",Vertices[[#Headers],[Vertex]:[Vertex Content Word Count]],0),FALSE)</f>
        <v>53</v>
      </c>
    </row>
    <row r="52" spans="1:3" ht="15">
      <c r="A52" s="82" t="s">
        <v>1384</v>
      </c>
      <c r="B52" s="90" t="s">
        <v>281</v>
      </c>
      <c r="C52" s="81">
        <f>VLOOKUP(GroupVertices[[#This Row],[Vertex]],Vertices[],MATCH("ID",Vertices[[#Headers],[Vertex]:[Vertex Content Word Count]],0),FALSE)</f>
        <v>41</v>
      </c>
    </row>
    <row r="53" spans="1:3" ht="15">
      <c r="A53" s="82" t="s">
        <v>1384</v>
      </c>
      <c r="B53" s="90" t="s">
        <v>311</v>
      </c>
      <c r="C53" s="81">
        <f>VLOOKUP(GroupVertices[[#This Row],[Vertex]],Vertices[],MATCH("ID",Vertices[[#Headers],[Vertex]:[Vertex Content Word Count]],0),FALSE)</f>
        <v>42</v>
      </c>
    </row>
    <row r="54" spans="1:3" ht="15">
      <c r="A54" s="82" t="s">
        <v>1384</v>
      </c>
      <c r="B54" s="90" t="s">
        <v>310</v>
      </c>
      <c r="C54" s="81">
        <f>VLOOKUP(GroupVertices[[#This Row],[Vertex]],Vertices[],MATCH("ID",Vertices[[#Headers],[Vertex]:[Vertex Content Word Count]],0),FALSE)</f>
        <v>40</v>
      </c>
    </row>
    <row r="55" spans="1:3" ht="15">
      <c r="A55" s="82" t="s">
        <v>1384</v>
      </c>
      <c r="B55" s="90" t="s">
        <v>280</v>
      </c>
      <c r="C55" s="81">
        <f>VLOOKUP(GroupVertices[[#This Row],[Vertex]],Vertices[],MATCH("ID",Vertices[[#Headers],[Vertex]:[Vertex Content Word Count]],0),FALSE)</f>
        <v>39</v>
      </c>
    </row>
    <row r="56" spans="1:3" ht="15">
      <c r="A56" s="82" t="s">
        <v>1385</v>
      </c>
      <c r="B56" s="90" t="s">
        <v>300</v>
      </c>
      <c r="C56" s="81">
        <f>VLOOKUP(GroupVertices[[#This Row],[Vertex]],Vertices[],MATCH("ID",Vertices[[#Headers],[Vertex]:[Vertex Content Word Count]],0),FALSE)</f>
        <v>75</v>
      </c>
    </row>
    <row r="57" spans="1:3" ht="15">
      <c r="A57" s="82" t="s">
        <v>1385</v>
      </c>
      <c r="B57" s="90" t="s">
        <v>299</v>
      </c>
      <c r="C57" s="81">
        <f>VLOOKUP(GroupVertices[[#This Row],[Vertex]],Vertices[],MATCH("ID",Vertices[[#Headers],[Vertex]:[Vertex Content Word Count]],0),FALSE)</f>
        <v>63</v>
      </c>
    </row>
    <row r="58" spans="1:3" ht="15">
      <c r="A58" s="82" t="s">
        <v>1385</v>
      </c>
      <c r="B58" s="90" t="s">
        <v>294</v>
      </c>
      <c r="C58" s="81">
        <f>VLOOKUP(GroupVertices[[#This Row],[Vertex]],Vertices[],MATCH("ID",Vertices[[#Headers],[Vertex]:[Vertex Content Word Count]],0),FALSE)</f>
        <v>62</v>
      </c>
    </row>
    <row r="59" spans="1:3" ht="15">
      <c r="A59" s="82" t="s">
        <v>1386</v>
      </c>
      <c r="B59" s="90" t="s">
        <v>270</v>
      </c>
      <c r="C59" s="81">
        <f>VLOOKUP(GroupVertices[[#This Row],[Vertex]],Vertices[],MATCH("ID",Vertices[[#Headers],[Vertex]:[Vertex Content Word Count]],0),FALSE)</f>
        <v>30</v>
      </c>
    </row>
    <row r="60" spans="1:3" ht="15">
      <c r="A60" s="82" t="s">
        <v>1386</v>
      </c>
      <c r="B60" s="90" t="s">
        <v>269</v>
      </c>
      <c r="C60" s="81">
        <f>VLOOKUP(GroupVertices[[#This Row],[Vertex]],Vertices[],MATCH("ID",Vertices[[#Headers],[Vertex]:[Vertex Content Word Count]],0),FALSE)</f>
        <v>28</v>
      </c>
    </row>
    <row r="61" spans="1:3" ht="15">
      <c r="A61" s="82" t="s">
        <v>1386</v>
      </c>
      <c r="B61" s="90" t="s">
        <v>307</v>
      </c>
      <c r="C61" s="81">
        <f>VLOOKUP(GroupVertices[[#This Row],[Vertex]],Vertices[],MATCH("ID",Vertices[[#Headers],[Vertex]:[Vertex Content Word Count]],0),FALSE)</f>
        <v>29</v>
      </c>
    </row>
    <row r="62" spans="1:3" ht="15">
      <c r="A62" s="82" t="s">
        <v>1387</v>
      </c>
      <c r="B62" s="90" t="s">
        <v>304</v>
      </c>
      <c r="C62" s="81">
        <f>VLOOKUP(GroupVertices[[#This Row],[Vertex]],Vertices[],MATCH("ID",Vertices[[#Headers],[Vertex]:[Vertex Content Word Count]],0),FALSE)</f>
        <v>81</v>
      </c>
    </row>
    <row r="63" spans="1:3" ht="15">
      <c r="A63" s="82" t="s">
        <v>1387</v>
      </c>
      <c r="B63" s="90" t="s">
        <v>303</v>
      </c>
      <c r="C63" s="81">
        <f>VLOOKUP(GroupVertices[[#This Row],[Vertex]],Vertices[],MATCH("ID",Vertices[[#Headers],[Vertex]:[Vertex Content Word Count]],0),FALSE)</f>
        <v>80</v>
      </c>
    </row>
    <row r="64" spans="1:3" ht="15">
      <c r="A64" s="82" t="s">
        <v>1388</v>
      </c>
      <c r="B64" s="90" t="s">
        <v>301</v>
      </c>
      <c r="C64" s="81">
        <f>VLOOKUP(GroupVertices[[#This Row],[Vertex]],Vertices[],MATCH("ID",Vertices[[#Headers],[Vertex]:[Vertex Content Word Count]],0),FALSE)</f>
        <v>76</v>
      </c>
    </row>
    <row r="65" spans="1:3" ht="15">
      <c r="A65" s="82" t="s">
        <v>1388</v>
      </c>
      <c r="B65" s="90" t="s">
        <v>327</v>
      </c>
      <c r="C65" s="81">
        <f>VLOOKUP(GroupVertices[[#This Row],[Vertex]],Vertices[],MATCH("ID",Vertices[[#Headers],[Vertex]:[Vertex Content Word Count]],0),FALSE)</f>
        <v>77</v>
      </c>
    </row>
    <row r="66" spans="1:3" ht="15">
      <c r="A66" s="82" t="s">
        <v>1389</v>
      </c>
      <c r="B66" s="90" t="s">
        <v>298</v>
      </c>
      <c r="C66" s="81">
        <f>VLOOKUP(GroupVertices[[#This Row],[Vertex]],Vertices[],MATCH("ID",Vertices[[#Headers],[Vertex]:[Vertex Content Word Count]],0),FALSE)</f>
        <v>73</v>
      </c>
    </row>
    <row r="67" spans="1:3" ht="15">
      <c r="A67" s="82" t="s">
        <v>1389</v>
      </c>
      <c r="B67" s="90" t="s">
        <v>326</v>
      </c>
      <c r="C67" s="81">
        <f>VLOOKUP(GroupVertices[[#This Row],[Vertex]],Vertices[],MATCH("ID",Vertices[[#Headers],[Vertex]:[Vertex Content Word Count]],0),FALSE)</f>
        <v>74</v>
      </c>
    </row>
    <row r="68" spans="1:3" ht="15">
      <c r="A68" s="82" t="s">
        <v>1390</v>
      </c>
      <c r="B68" s="90" t="s">
        <v>292</v>
      </c>
      <c r="C68" s="81">
        <f>VLOOKUP(GroupVertices[[#This Row],[Vertex]],Vertices[],MATCH("ID",Vertices[[#Headers],[Vertex]:[Vertex Content Word Count]],0),FALSE)</f>
        <v>59</v>
      </c>
    </row>
    <row r="69" spans="1:3" ht="15">
      <c r="A69" s="82" t="s">
        <v>1390</v>
      </c>
      <c r="B69" s="90" t="s">
        <v>319</v>
      </c>
      <c r="C69" s="81">
        <f>VLOOKUP(GroupVertices[[#This Row],[Vertex]],Vertices[],MATCH("ID",Vertices[[#Headers],[Vertex]:[Vertex Content Word Count]],0),FALSE)</f>
        <v>60</v>
      </c>
    </row>
    <row r="70" spans="1:3" ht="15">
      <c r="A70" s="82" t="s">
        <v>1391</v>
      </c>
      <c r="B70" s="90" t="s">
        <v>290</v>
      </c>
      <c r="C70" s="81">
        <f>VLOOKUP(GroupVertices[[#This Row],[Vertex]],Vertices[],MATCH("ID",Vertices[[#Headers],[Vertex]:[Vertex Content Word Count]],0),FALSE)</f>
        <v>57</v>
      </c>
    </row>
    <row r="71" spans="1:3" ht="15">
      <c r="A71" s="82" t="s">
        <v>1391</v>
      </c>
      <c r="B71" s="90" t="s">
        <v>318</v>
      </c>
      <c r="C71" s="81">
        <f>VLOOKUP(GroupVertices[[#This Row],[Vertex]],Vertices[],MATCH("ID",Vertices[[#Headers],[Vertex]:[Vertex Content Word Count]],0),FALSE)</f>
        <v>58</v>
      </c>
    </row>
    <row r="72" spans="1:3" ht="15">
      <c r="A72" s="82" t="s">
        <v>1392</v>
      </c>
      <c r="B72" s="90" t="s">
        <v>284</v>
      </c>
      <c r="C72" s="81">
        <f>VLOOKUP(GroupVertices[[#This Row],[Vertex]],Vertices[],MATCH("ID",Vertices[[#Headers],[Vertex]:[Vertex Content Word Count]],0),FALSE)</f>
        <v>45</v>
      </c>
    </row>
    <row r="73" spans="1:3" ht="15">
      <c r="A73" s="82" t="s">
        <v>1392</v>
      </c>
      <c r="B73" s="90" t="s">
        <v>283</v>
      </c>
      <c r="C73" s="81">
        <f>VLOOKUP(GroupVertices[[#This Row],[Vertex]],Vertices[],MATCH("ID",Vertices[[#Headers],[Vertex]:[Vertex Content Word Count]],0),FALSE)</f>
        <v>44</v>
      </c>
    </row>
    <row r="74" spans="1:3" ht="15">
      <c r="A74" s="82" t="s">
        <v>1393</v>
      </c>
      <c r="B74" s="90" t="s">
        <v>277</v>
      </c>
      <c r="C74" s="81">
        <f>VLOOKUP(GroupVertices[[#This Row],[Vertex]],Vertices[],MATCH("ID",Vertices[[#Headers],[Vertex]:[Vertex Content Word Count]],0),FALSE)</f>
        <v>35</v>
      </c>
    </row>
    <row r="75" spans="1:3" ht="15">
      <c r="A75" s="82" t="s">
        <v>1393</v>
      </c>
      <c r="B75" s="90" t="s">
        <v>309</v>
      </c>
      <c r="C75" s="81">
        <f>VLOOKUP(GroupVertices[[#This Row],[Vertex]],Vertices[],MATCH("ID",Vertices[[#Headers],[Vertex]:[Vertex Content Word Count]],0),FALSE)</f>
        <v>36</v>
      </c>
    </row>
    <row r="76" spans="1:3" ht="15">
      <c r="A76" s="82" t="s">
        <v>1394</v>
      </c>
      <c r="B76" s="90" t="s">
        <v>268</v>
      </c>
      <c r="C76" s="81">
        <f>VLOOKUP(GroupVertices[[#This Row],[Vertex]],Vertices[],MATCH("ID",Vertices[[#Headers],[Vertex]:[Vertex Content Word Count]],0),FALSE)</f>
        <v>24</v>
      </c>
    </row>
    <row r="77" spans="1:3" ht="15">
      <c r="A77" s="82" t="s">
        <v>1394</v>
      </c>
      <c r="B77" s="90" t="s">
        <v>262</v>
      </c>
      <c r="C77" s="81">
        <f>VLOOKUP(GroupVertices[[#This Row],[Vertex]],Vertices[],MATCH("ID",Vertices[[#Headers],[Vertex]:[Vertex Content Word Count]],0),FALSE)</f>
        <v>23</v>
      </c>
    </row>
    <row r="78" spans="1:3" ht="15">
      <c r="A78" s="82" t="s">
        <v>1395</v>
      </c>
      <c r="B78" s="90" t="s">
        <v>261</v>
      </c>
      <c r="C78" s="81">
        <f>VLOOKUP(GroupVertices[[#This Row],[Vertex]],Vertices[],MATCH("ID",Vertices[[#Headers],[Vertex]:[Vertex Content Word Count]],0),FALSE)</f>
        <v>22</v>
      </c>
    </row>
    <row r="79" spans="1:3" ht="15">
      <c r="A79" s="82" t="s">
        <v>1395</v>
      </c>
      <c r="B79" s="90" t="s">
        <v>260</v>
      </c>
      <c r="C79" s="81">
        <f>VLOOKUP(GroupVertices[[#This Row],[Vertex]],Vertices[],MATCH("ID",Vertices[[#Headers],[Vertex]:[Vertex Content Word Count]],0),FALSE)</f>
        <v>21</v>
      </c>
    </row>
    <row r="80" spans="1:3" ht="15">
      <c r="A80" s="82" t="s">
        <v>1396</v>
      </c>
      <c r="B80" s="90" t="s">
        <v>291</v>
      </c>
      <c r="C80" s="81">
        <f>VLOOKUP(GroupVertices[[#This Row],[Vertex]],Vertices[],MATCH("ID",Vertices[[#Headers],[Vertex]:[Vertex Content Word Count]],0),FALSE)</f>
        <v>9</v>
      </c>
    </row>
    <row r="81" spans="1:3" ht="15">
      <c r="A81" s="82" t="s">
        <v>1396</v>
      </c>
      <c r="B81" s="90" t="s">
        <v>251</v>
      </c>
      <c r="C81" s="81">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2108</v>
      </c>
      <c r="B2" s="35" t="s">
        <v>1375</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63</v>
      </c>
      <c r="P2" s="38">
        <f>MIN(Vertices[PageRank])</f>
        <v>0.011011</v>
      </c>
      <c r="Q2" s="39">
        <f>COUNTIF(Vertices[PageRank],"&gt;= "&amp;P2)-COUNTIF(Vertices[PageRank],"&gt;="&amp;P3)</f>
        <v>11</v>
      </c>
      <c r="R2" s="38">
        <f>MIN(Vertices[Clustering Coefficient])</f>
        <v>0</v>
      </c>
      <c r="S2" s="44">
        <f>COUNTIF(Vertices[Clustering Coefficient],"&gt;= "&amp;R2)-COUNTIF(Vertices[Clustering Coefficient],"&gt;="&amp;R3)</f>
        <v>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3.5</v>
      </c>
      <c r="K3" s="41">
        <f>COUNTIF(Vertices[Betweenness Centrality],"&gt;= "&amp;J3)-COUNTIF(Vertices[Betweenness Centrality],"&gt;="&amp;J4)</f>
        <v>3</v>
      </c>
      <c r="L3" s="40">
        <f aca="true" t="shared" si="5" ref="L3:L35">L2+($L$36-$L$2)/BinDivisor</f>
        <v>0.005606411764705882</v>
      </c>
      <c r="M3" s="41">
        <f>COUNTIF(Vertices[Closeness Centrality],"&gt;= "&amp;L3)-COUNTIF(Vertices[Closeness Centrality],"&gt;="&amp;L4)</f>
        <v>0</v>
      </c>
      <c r="N3" s="40">
        <f aca="true" t="shared" si="6" ref="N3:N35">N2+($N$36-$N$2)/BinDivisor</f>
        <v>0.013764382352941177</v>
      </c>
      <c r="O3" s="41">
        <f>COUNTIF(Vertices[Eigenvector Centrality],"&gt;= "&amp;N3)-COUNTIF(Vertices[Eigenvector Centrality],"&gt;="&amp;N4)</f>
        <v>1</v>
      </c>
      <c r="P3" s="40">
        <f aca="true" t="shared" si="7" ref="P3:P35">P2+($P$36-$P$2)/BinDivisor</f>
        <v>0.011232323529411765</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0.8823529411764706</v>
      </c>
      <c r="G4" s="39">
        <f>COUNTIF(Vertices[In-Degree],"&gt;= "&amp;F4)-COUNTIF(Vertices[In-Degree],"&gt;="&amp;F5)</f>
        <v>27</v>
      </c>
      <c r="H4" s="38">
        <f t="shared" si="3"/>
        <v>0.23529411764705882</v>
      </c>
      <c r="I4" s="39">
        <f>COUNTIF(Vertices[Out-Degree],"&gt;= "&amp;H4)-COUNTIF(Vertices[Out-Degree],"&gt;="&amp;H5)</f>
        <v>0</v>
      </c>
      <c r="J4" s="38">
        <f t="shared" si="4"/>
        <v>7</v>
      </c>
      <c r="K4" s="39">
        <f>COUNTIF(Vertices[Betweenness Centrality],"&gt;= "&amp;J4)-COUNTIF(Vertices[Betweenness Centrality],"&gt;="&amp;J5)</f>
        <v>3</v>
      </c>
      <c r="L4" s="38">
        <f t="shared" si="5"/>
        <v>0.011212823529411765</v>
      </c>
      <c r="M4" s="39">
        <f>COUNTIF(Vertices[Closeness Centrality],"&gt;= "&amp;L4)-COUNTIF(Vertices[Closeness Centrality],"&gt;="&amp;L5)</f>
        <v>20</v>
      </c>
      <c r="N4" s="38">
        <f t="shared" si="6"/>
        <v>0.027528764705882353</v>
      </c>
      <c r="O4" s="39">
        <f>COUNTIF(Vertices[Eigenvector Centrality],"&gt;= "&amp;N4)-COUNTIF(Vertices[Eigenvector Centrality],"&gt;="&amp;N5)</f>
        <v>0</v>
      </c>
      <c r="P4" s="38">
        <f t="shared" si="7"/>
        <v>0.01145364705882353</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1.3235294117647058</v>
      </c>
      <c r="G5" s="41">
        <f>COUNTIF(Vertices[In-Degree],"&gt;= "&amp;F5)-COUNTIF(Vertices[In-Degree],"&gt;="&amp;F6)</f>
        <v>0</v>
      </c>
      <c r="H5" s="40">
        <f t="shared" si="3"/>
        <v>0.3529411764705882</v>
      </c>
      <c r="I5" s="41">
        <f>COUNTIF(Vertices[Out-Degree],"&gt;= "&amp;H5)-COUNTIF(Vertices[Out-Degree],"&gt;="&amp;H6)</f>
        <v>0</v>
      </c>
      <c r="J5" s="40">
        <f t="shared" si="4"/>
        <v>10.5</v>
      </c>
      <c r="K5" s="41">
        <f>COUNTIF(Vertices[Betweenness Centrality],"&gt;= "&amp;J5)-COUNTIF(Vertices[Betweenness Centrality],"&gt;="&amp;J6)</f>
        <v>2</v>
      </c>
      <c r="L5" s="40">
        <f t="shared" si="5"/>
        <v>0.01681923529411765</v>
      </c>
      <c r="M5" s="41">
        <f>COUNTIF(Vertices[Closeness Centrality],"&gt;= "&amp;L5)-COUNTIF(Vertices[Closeness Centrality],"&gt;="&amp;L6)</f>
        <v>4</v>
      </c>
      <c r="N5" s="40">
        <f t="shared" si="6"/>
        <v>0.04129314705882353</v>
      </c>
      <c r="O5" s="41">
        <f>COUNTIF(Vertices[Eigenvector Centrality],"&gt;= "&amp;N5)-COUNTIF(Vertices[Eigenvector Centrality],"&gt;="&amp;N6)</f>
        <v>0</v>
      </c>
      <c r="P5" s="40">
        <f t="shared" si="7"/>
        <v>0.011674970588235295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92</v>
      </c>
      <c r="D6" s="33">
        <f t="shared" si="1"/>
        <v>0</v>
      </c>
      <c r="E6" s="3">
        <f>COUNTIF(Vertices[Degree],"&gt;= "&amp;D6)-COUNTIF(Vertices[Degree],"&gt;="&amp;D7)</f>
        <v>0</v>
      </c>
      <c r="F6" s="38">
        <f t="shared" si="2"/>
        <v>1.7647058823529411</v>
      </c>
      <c r="G6" s="39">
        <f>COUNTIF(Vertices[In-Degree],"&gt;= "&amp;F6)-COUNTIF(Vertices[In-Degree],"&gt;="&amp;F7)</f>
        <v>12</v>
      </c>
      <c r="H6" s="38">
        <f t="shared" si="3"/>
        <v>0.47058823529411764</v>
      </c>
      <c r="I6" s="39">
        <f>COUNTIF(Vertices[Out-Degree],"&gt;= "&amp;H6)-COUNTIF(Vertices[Out-Degree],"&gt;="&amp;H7)</f>
        <v>0</v>
      </c>
      <c r="J6" s="38">
        <f t="shared" si="4"/>
        <v>14</v>
      </c>
      <c r="K6" s="39">
        <f>COUNTIF(Vertices[Betweenness Centrality],"&gt;= "&amp;J6)-COUNTIF(Vertices[Betweenness Centrality],"&gt;="&amp;J7)</f>
        <v>2</v>
      </c>
      <c r="L6" s="38">
        <f t="shared" si="5"/>
        <v>0.02242564705882353</v>
      </c>
      <c r="M6" s="39">
        <f>COUNTIF(Vertices[Closeness Centrality],"&gt;= "&amp;L6)-COUNTIF(Vertices[Closeness Centrality],"&gt;="&amp;L7)</f>
        <v>7</v>
      </c>
      <c r="N6" s="38">
        <f t="shared" si="6"/>
        <v>0.05505752941176471</v>
      </c>
      <c r="O6" s="39">
        <f>COUNTIF(Vertices[Eigenvector Centrality],"&gt;= "&amp;N6)-COUNTIF(Vertices[Eigenvector Centrality],"&gt;="&amp;N7)</f>
        <v>0</v>
      </c>
      <c r="P6" s="38">
        <f t="shared" si="7"/>
        <v>0.01189629411764706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165</v>
      </c>
      <c r="D7" s="33">
        <f t="shared" si="1"/>
        <v>0</v>
      </c>
      <c r="E7" s="3">
        <f>COUNTIF(Vertices[Degree],"&gt;= "&amp;D7)-COUNTIF(Vertices[Degree],"&gt;="&amp;D8)</f>
        <v>0</v>
      </c>
      <c r="F7" s="40">
        <f t="shared" si="2"/>
        <v>2.2058823529411766</v>
      </c>
      <c r="G7" s="41">
        <f>COUNTIF(Vertices[In-Degree],"&gt;= "&amp;F7)-COUNTIF(Vertices[In-Degree],"&gt;="&amp;F8)</f>
        <v>0</v>
      </c>
      <c r="H7" s="40">
        <f t="shared" si="3"/>
        <v>0.5882352941176471</v>
      </c>
      <c r="I7" s="41">
        <f>COUNTIF(Vertices[Out-Degree],"&gt;= "&amp;H7)-COUNTIF(Vertices[Out-Degree],"&gt;="&amp;H8)</f>
        <v>0</v>
      </c>
      <c r="J7" s="40">
        <f t="shared" si="4"/>
        <v>17.5</v>
      </c>
      <c r="K7" s="41">
        <f>COUNTIF(Vertices[Betweenness Centrality],"&gt;= "&amp;J7)-COUNTIF(Vertices[Betweenness Centrality],"&gt;="&amp;J8)</f>
        <v>0</v>
      </c>
      <c r="L7" s="40">
        <f t="shared" si="5"/>
        <v>0.02803205882352941</v>
      </c>
      <c r="M7" s="41">
        <f>COUNTIF(Vertices[Closeness Centrality],"&gt;= "&amp;L7)-COUNTIF(Vertices[Closeness Centrality],"&gt;="&amp;L8)</f>
        <v>13</v>
      </c>
      <c r="N7" s="40">
        <f t="shared" si="6"/>
        <v>0.06882191176470588</v>
      </c>
      <c r="O7" s="41">
        <f>COUNTIF(Vertices[Eigenvector Centrality],"&gt;= "&amp;N7)-COUNTIF(Vertices[Eigenvector Centrality],"&gt;="&amp;N8)</f>
        <v>1</v>
      </c>
      <c r="P7" s="40">
        <f t="shared" si="7"/>
        <v>0.012117617647058826</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257</v>
      </c>
      <c r="D8" s="33">
        <f t="shared" si="1"/>
        <v>0</v>
      </c>
      <c r="E8" s="3">
        <f>COUNTIF(Vertices[Degree],"&gt;= "&amp;D8)-COUNTIF(Vertices[Degree],"&gt;="&amp;D9)</f>
        <v>0</v>
      </c>
      <c r="F8" s="38">
        <f t="shared" si="2"/>
        <v>2.647058823529412</v>
      </c>
      <c r="G8" s="39">
        <f>COUNTIF(Vertices[In-Degree],"&gt;= "&amp;F8)-COUNTIF(Vertices[In-Degree],"&gt;="&amp;F9)</f>
        <v>4</v>
      </c>
      <c r="H8" s="38">
        <f t="shared" si="3"/>
        <v>0.7058823529411765</v>
      </c>
      <c r="I8" s="39">
        <f>COUNTIF(Vertices[Out-Degree],"&gt;= "&amp;H8)-COUNTIF(Vertices[Out-Degree],"&gt;="&amp;H9)</f>
        <v>0</v>
      </c>
      <c r="J8" s="38">
        <f t="shared" si="4"/>
        <v>21</v>
      </c>
      <c r="K8" s="39">
        <f>COUNTIF(Vertices[Betweenness Centrality],"&gt;= "&amp;J8)-COUNTIF(Vertices[Betweenness Centrality],"&gt;="&amp;J9)</f>
        <v>0</v>
      </c>
      <c r="L8" s="38">
        <f t="shared" si="5"/>
        <v>0.03363847058823529</v>
      </c>
      <c r="M8" s="39">
        <f>COUNTIF(Vertices[Closeness Centrality],"&gt;= "&amp;L8)-COUNTIF(Vertices[Closeness Centrality],"&gt;="&amp;L9)</f>
        <v>5</v>
      </c>
      <c r="N8" s="38">
        <f t="shared" si="6"/>
        <v>0.08258629411764706</v>
      </c>
      <c r="O8" s="39">
        <f>COUNTIF(Vertices[Eigenvector Centrality],"&gt;= "&amp;N8)-COUNTIF(Vertices[Eigenvector Centrality],"&gt;="&amp;N9)</f>
        <v>1</v>
      </c>
      <c r="P8" s="38">
        <f t="shared" si="7"/>
        <v>0.01233894117647059</v>
      </c>
      <c r="Q8" s="39">
        <f>COUNTIF(Vertices[PageRank],"&gt;= "&amp;P8)-COUNTIF(Vertices[PageRank],"&gt;="&amp;P9)</f>
        <v>21</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3.0882352941176476</v>
      </c>
      <c r="G9" s="41">
        <f>COUNTIF(Vertices[In-Degree],"&gt;= "&amp;F9)-COUNTIF(Vertices[In-Degree],"&gt;="&amp;F10)</f>
        <v>0</v>
      </c>
      <c r="H9" s="40">
        <f t="shared" si="3"/>
        <v>0.823529411764706</v>
      </c>
      <c r="I9" s="41">
        <f>COUNTIF(Vertices[Out-Degree],"&gt;= "&amp;H9)-COUNTIF(Vertices[Out-Degree],"&gt;="&amp;H10)</f>
        <v>0</v>
      </c>
      <c r="J9" s="40">
        <f t="shared" si="4"/>
        <v>24.5</v>
      </c>
      <c r="K9" s="41">
        <f>COUNTIF(Vertices[Betweenness Centrality],"&gt;= "&amp;J9)-COUNTIF(Vertices[Betweenness Centrality],"&gt;="&amp;J10)</f>
        <v>0</v>
      </c>
      <c r="L9" s="40">
        <f t="shared" si="5"/>
        <v>0.03924488235294117</v>
      </c>
      <c r="M9" s="41">
        <f>COUNTIF(Vertices[Closeness Centrality],"&gt;= "&amp;L9)-COUNTIF(Vertices[Closeness Centrality],"&gt;="&amp;L10)</f>
        <v>1</v>
      </c>
      <c r="N9" s="40">
        <f t="shared" si="6"/>
        <v>0.09635067647058825</v>
      </c>
      <c r="O9" s="41">
        <f>COUNTIF(Vertices[Eigenvector Centrality],"&gt;= "&amp;N9)-COUNTIF(Vertices[Eigenvector Centrality],"&gt;="&amp;N10)</f>
        <v>0</v>
      </c>
      <c r="P9" s="40">
        <f t="shared" si="7"/>
        <v>0.012560264705882356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160</v>
      </c>
      <c r="D10" s="33">
        <f t="shared" si="1"/>
        <v>0</v>
      </c>
      <c r="E10" s="3">
        <f>COUNTIF(Vertices[Degree],"&gt;= "&amp;D10)-COUNTIF(Vertices[Degree],"&gt;="&amp;D11)</f>
        <v>0</v>
      </c>
      <c r="F10" s="38">
        <f t="shared" si="2"/>
        <v>3.529411764705883</v>
      </c>
      <c r="G10" s="39">
        <f>COUNTIF(Vertices[In-Degree],"&gt;= "&amp;F10)-COUNTIF(Vertices[In-Degree],"&gt;="&amp;F11)</f>
        <v>0</v>
      </c>
      <c r="H10" s="38">
        <f t="shared" si="3"/>
        <v>0.9411764705882354</v>
      </c>
      <c r="I10" s="39">
        <f>COUNTIF(Vertices[Out-Degree],"&gt;= "&amp;H10)-COUNTIF(Vertices[Out-Degree],"&gt;="&amp;H11)</f>
        <v>32</v>
      </c>
      <c r="J10" s="38">
        <f t="shared" si="4"/>
        <v>28</v>
      </c>
      <c r="K10" s="39">
        <f>COUNTIF(Vertices[Betweenness Centrality],"&gt;= "&amp;J10)-COUNTIF(Vertices[Betweenness Centrality],"&gt;="&amp;J11)</f>
        <v>1</v>
      </c>
      <c r="L10" s="38">
        <f t="shared" si="5"/>
        <v>0.04485129411764705</v>
      </c>
      <c r="M10" s="39">
        <f>COUNTIF(Vertices[Closeness Centrality],"&gt;= "&amp;L10)-COUNTIF(Vertices[Closeness Centrality],"&gt;="&amp;L11)</f>
        <v>2</v>
      </c>
      <c r="N10" s="38">
        <f t="shared" si="6"/>
        <v>0.11011505882352943</v>
      </c>
      <c r="O10" s="39">
        <f>COUNTIF(Vertices[Eigenvector Centrality],"&gt;= "&amp;N10)-COUNTIF(Vertices[Eigenvector Centrality],"&gt;="&amp;N11)</f>
        <v>0</v>
      </c>
      <c r="P10" s="38">
        <f t="shared" si="7"/>
        <v>0.012781588235294121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3.9705882352941186</v>
      </c>
      <c r="G11" s="41">
        <f>COUNTIF(Vertices[In-Degree],"&gt;= "&amp;F11)-COUNTIF(Vertices[In-Degree],"&gt;="&amp;F12)</f>
        <v>0</v>
      </c>
      <c r="H11" s="40">
        <f t="shared" si="3"/>
        <v>1.0588235294117647</v>
      </c>
      <c r="I11" s="41">
        <f>COUNTIF(Vertices[Out-Degree],"&gt;= "&amp;H11)-COUNTIF(Vertices[Out-Degree],"&gt;="&amp;H12)</f>
        <v>0</v>
      </c>
      <c r="J11" s="40">
        <f t="shared" si="4"/>
        <v>31.5</v>
      </c>
      <c r="K11" s="41">
        <f>COUNTIF(Vertices[Betweenness Centrality],"&gt;= "&amp;J11)-COUNTIF(Vertices[Betweenness Centrality],"&gt;="&amp;J12)</f>
        <v>0</v>
      </c>
      <c r="L11" s="40">
        <f t="shared" si="5"/>
        <v>0.05045770588235293</v>
      </c>
      <c r="M11" s="41">
        <f>COUNTIF(Vertices[Closeness Centrality],"&gt;= "&amp;L11)-COUNTIF(Vertices[Closeness Centrality],"&gt;="&amp;L12)</f>
        <v>3</v>
      </c>
      <c r="N11" s="40">
        <f t="shared" si="6"/>
        <v>0.12387944117647061</v>
      </c>
      <c r="O11" s="41">
        <f>COUNTIF(Vertices[Eigenvector Centrality],"&gt;= "&amp;N11)-COUNTIF(Vertices[Eigenvector Centrality],"&gt;="&amp;N12)</f>
        <v>1</v>
      </c>
      <c r="P11" s="40">
        <f t="shared" si="7"/>
        <v>0.013002911764705886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0.06172839506172839</v>
      </c>
      <c r="D12" s="33">
        <f t="shared" si="1"/>
        <v>0</v>
      </c>
      <c r="E12" s="3">
        <f>COUNTIF(Vertices[Degree],"&gt;= "&amp;D12)-COUNTIF(Vertices[Degree],"&gt;="&amp;D13)</f>
        <v>0</v>
      </c>
      <c r="F12" s="38">
        <f t="shared" si="2"/>
        <v>4.411764705882354</v>
      </c>
      <c r="G12" s="39">
        <f>COUNTIF(Vertices[In-Degree],"&gt;= "&amp;F12)-COUNTIF(Vertices[In-Degree],"&gt;="&amp;F13)</f>
        <v>0</v>
      </c>
      <c r="H12" s="38">
        <f t="shared" si="3"/>
        <v>1.1764705882352942</v>
      </c>
      <c r="I12" s="39">
        <f>COUNTIF(Vertices[Out-Degree],"&gt;= "&amp;H12)-COUNTIF(Vertices[Out-Degree],"&gt;="&amp;H13)</f>
        <v>0</v>
      </c>
      <c r="J12" s="38">
        <f t="shared" si="4"/>
        <v>35</v>
      </c>
      <c r="K12" s="39">
        <f>COUNTIF(Vertices[Betweenness Centrality],"&gt;= "&amp;J12)-COUNTIF(Vertices[Betweenness Centrality],"&gt;="&amp;J13)</f>
        <v>0</v>
      </c>
      <c r="L12" s="38">
        <f t="shared" si="5"/>
        <v>0.05606411764705881</v>
      </c>
      <c r="M12" s="39">
        <f>COUNTIF(Vertices[Closeness Centrality],"&gt;= "&amp;L12)-COUNTIF(Vertices[Closeness Centrality],"&gt;="&amp;L13)</f>
        <v>0</v>
      </c>
      <c r="N12" s="38">
        <f t="shared" si="6"/>
        <v>0.1376438235294118</v>
      </c>
      <c r="O12" s="39">
        <f>COUNTIF(Vertices[Eigenvector Centrality],"&gt;= "&amp;N12)-COUNTIF(Vertices[Eigenvector Centrality],"&gt;="&amp;N13)</f>
        <v>0</v>
      </c>
      <c r="P12" s="38">
        <f t="shared" si="7"/>
        <v>0.013224235294117651</v>
      </c>
      <c r="Q12" s="39">
        <f>COUNTIF(Vertices[PageRank],"&gt;= "&amp;P12)-COUNTIF(Vertices[PageRank],"&gt;="&amp;P13)</f>
        <v>7</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0.11627906976744186</v>
      </c>
      <c r="D13" s="33">
        <f t="shared" si="1"/>
        <v>0</v>
      </c>
      <c r="E13" s="3">
        <f>COUNTIF(Vertices[Degree],"&gt;= "&amp;D13)-COUNTIF(Vertices[Degree],"&gt;="&amp;D14)</f>
        <v>0</v>
      </c>
      <c r="F13" s="40">
        <f t="shared" si="2"/>
        <v>4.85294117647059</v>
      </c>
      <c r="G13" s="41">
        <f>COUNTIF(Vertices[In-Degree],"&gt;= "&amp;F13)-COUNTIF(Vertices[In-Degree],"&gt;="&amp;F14)</f>
        <v>0</v>
      </c>
      <c r="H13" s="40">
        <f t="shared" si="3"/>
        <v>1.2941176470588236</v>
      </c>
      <c r="I13" s="41">
        <f>COUNTIF(Vertices[Out-Degree],"&gt;= "&amp;H13)-COUNTIF(Vertices[Out-Degree],"&gt;="&amp;H14)</f>
        <v>0</v>
      </c>
      <c r="J13" s="40">
        <f t="shared" si="4"/>
        <v>38.5</v>
      </c>
      <c r="K13" s="41">
        <f>COUNTIF(Vertices[Betweenness Centrality],"&gt;= "&amp;J13)-COUNTIF(Vertices[Betweenness Centrality],"&gt;="&amp;J14)</f>
        <v>1</v>
      </c>
      <c r="L13" s="40">
        <f t="shared" si="5"/>
        <v>0.061670529411764693</v>
      </c>
      <c r="M13" s="41">
        <f>COUNTIF(Vertices[Closeness Centrality],"&gt;= "&amp;L13)-COUNTIF(Vertices[Closeness Centrality],"&gt;="&amp;L14)</f>
        <v>0</v>
      </c>
      <c r="N13" s="40">
        <f t="shared" si="6"/>
        <v>0.15140820588235296</v>
      </c>
      <c r="O13" s="41">
        <f>COUNTIF(Vertices[Eigenvector Centrality],"&gt;= "&amp;N13)-COUNTIF(Vertices[Eigenvector Centrality],"&gt;="&amp;N14)</f>
        <v>0</v>
      </c>
      <c r="P13" s="40">
        <f t="shared" si="7"/>
        <v>0.013445558823529416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118"/>
      <c r="B14" s="118"/>
      <c r="D14" s="33">
        <f t="shared" si="1"/>
        <v>0</v>
      </c>
      <c r="E14" s="3">
        <f>COUNTIF(Vertices[Degree],"&gt;= "&amp;D14)-COUNTIF(Vertices[Degree],"&gt;="&amp;D15)</f>
        <v>0</v>
      </c>
      <c r="F14" s="38">
        <f t="shared" si="2"/>
        <v>5.294117647058825</v>
      </c>
      <c r="G14" s="39">
        <f>COUNTIF(Vertices[In-Degree],"&gt;= "&amp;F14)-COUNTIF(Vertices[In-Degree],"&gt;="&amp;F15)</f>
        <v>0</v>
      </c>
      <c r="H14" s="38">
        <f t="shared" si="3"/>
        <v>1.411764705882353</v>
      </c>
      <c r="I14" s="39">
        <f>COUNTIF(Vertices[Out-Degree],"&gt;= "&amp;H14)-COUNTIF(Vertices[Out-Degree],"&gt;="&amp;H15)</f>
        <v>0</v>
      </c>
      <c r="J14" s="38">
        <f t="shared" si="4"/>
        <v>42</v>
      </c>
      <c r="K14" s="39">
        <f>COUNTIF(Vertices[Betweenness Centrality],"&gt;= "&amp;J14)-COUNTIF(Vertices[Betweenness Centrality],"&gt;="&amp;J15)</f>
        <v>0</v>
      </c>
      <c r="L14" s="38">
        <f t="shared" si="5"/>
        <v>0.06727694117647058</v>
      </c>
      <c r="M14" s="39">
        <f>COUNTIF(Vertices[Closeness Centrality],"&gt;= "&amp;L14)-COUNTIF(Vertices[Closeness Centrality],"&gt;="&amp;L15)</f>
        <v>0</v>
      </c>
      <c r="N14" s="38">
        <f t="shared" si="6"/>
        <v>0.16517258823529413</v>
      </c>
      <c r="O14" s="39">
        <f>COUNTIF(Vertices[Eigenvector Centrality],"&gt;= "&amp;N14)-COUNTIF(Vertices[Eigenvector Centrality],"&gt;="&amp;N15)</f>
        <v>0</v>
      </c>
      <c r="P14" s="38">
        <f t="shared" si="7"/>
        <v>0.013666882352941181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27</v>
      </c>
      <c r="D15" s="33">
        <f t="shared" si="1"/>
        <v>0</v>
      </c>
      <c r="E15" s="3">
        <f>COUNTIF(Vertices[Degree],"&gt;= "&amp;D15)-COUNTIF(Vertices[Degree],"&gt;="&amp;D16)</f>
        <v>0</v>
      </c>
      <c r="F15" s="40">
        <f t="shared" si="2"/>
        <v>5.735294117647061</v>
      </c>
      <c r="G15" s="41">
        <f>COUNTIF(Vertices[In-Degree],"&gt;= "&amp;F15)-COUNTIF(Vertices[In-Degree],"&gt;="&amp;F16)</f>
        <v>0</v>
      </c>
      <c r="H15" s="40">
        <f t="shared" si="3"/>
        <v>1.5294117647058825</v>
      </c>
      <c r="I15" s="41">
        <f>COUNTIF(Vertices[Out-Degree],"&gt;= "&amp;H15)-COUNTIF(Vertices[Out-Degree],"&gt;="&amp;H16)</f>
        <v>0</v>
      </c>
      <c r="J15" s="40">
        <f t="shared" si="4"/>
        <v>45.5</v>
      </c>
      <c r="K15" s="41">
        <f>COUNTIF(Vertices[Betweenness Centrality],"&gt;= "&amp;J15)-COUNTIF(Vertices[Betweenness Centrality],"&gt;="&amp;J16)</f>
        <v>0</v>
      </c>
      <c r="L15" s="40">
        <f t="shared" si="5"/>
        <v>0.07288335294117647</v>
      </c>
      <c r="M15" s="41">
        <f>COUNTIF(Vertices[Closeness Centrality],"&gt;= "&amp;L15)-COUNTIF(Vertices[Closeness Centrality],"&gt;="&amp;L16)</f>
        <v>1</v>
      </c>
      <c r="N15" s="40">
        <f t="shared" si="6"/>
        <v>0.1789369705882353</v>
      </c>
      <c r="O15" s="41">
        <f>COUNTIF(Vertices[Eigenvector Centrality],"&gt;= "&amp;N15)-COUNTIF(Vertices[Eigenvector Centrality],"&gt;="&amp;N16)</f>
        <v>10</v>
      </c>
      <c r="P15" s="40">
        <f t="shared" si="7"/>
        <v>0.013888205882352947</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8</v>
      </c>
      <c r="D16" s="33">
        <f t="shared" si="1"/>
        <v>0</v>
      </c>
      <c r="E16" s="3">
        <f>COUNTIF(Vertices[Degree],"&gt;= "&amp;D16)-COUNTIF(Vertices[Degree],"&gt;="&amp;D17)</f>
        <v>0</v>
      </c>
      <c r="F16" s="38">
        <f t="shared" si="2"/>
        <v>6.176470588235296</v>
      </c>
      <c r="G16" s="39">
        <f>COUNTIF(Vertices[In-Degree],"&gt;= "&amp;F16)-COUNTIF(Vertices[In-Degree],"&gt;="&amp;F17)</f>
        <v>0</v>
      </c>
      <c r="H16" s="38">
        <f t="shared" si="3"/>
        <v>1.647058823529412</v>
      </c>
      <c r="I16" s="39">
        <f>COUNTIF(Vertices[Out-Degree],"&gt;= "&amp;H16)-COUNTIF(Vertices[Out-Degree],"&gt;="&amp;H17)</f>
        <v>0</v>
      </c>
      <c r="J16" s="38">
        <f t="shared" si="4"/>
        <v>49</v>
      </c>
      <c r="K16" s="39">
        <f>COUNTIF(Vertices[Betweenness Centrality],"&gt;= "&amp;J16)-COUNTIF(Vertices[Betweenness Centrality],"&gt;="&amp;J17)</f>
        <v>0</v>
      </c>
      <c r="L16" s="38">
        <f t="shared" si="5"/>
        <v>0.07848976470588236</v>
      </c>
      <c r="M16" s="39">
        <f>COUNTIF(Vertices[Closeness Centrality],"&gt;= "&amp;L16)-COUNTIF(Vertices[Closeness Centrality],"&gt;="&amp;L17)</f>
        <v>0</v>
      </c>
      <c r="N16" s="38">
        <f t="shared" si="6"/>
        <v>0.19270135294117646</v>
      </c>
      <c r="O16" s="39">
        <f>COUNTIF(Vertices[Eigenvector Centrality],"&gt;= "&amp;N16)-COUNTIF(Vertices[Eigenvector Centrality],"&gt;="&amp;N17)</f>
        <v>0</v>
      </c>
      <c r="P16" s="38">
        <f t="shared" si="7"/>
        <v>0.014109529411764712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17</v>
      </c>
      <c r="D17" s="33">
        <f t="shared" si="1"/>
        <v>0</v>
      </c>
      <c r="E17" s="3">
        <f>COUNTIF(Vertices[Degree],"&gt;= "&amp;D17)-COUNTIF(Vertices[Degree],"&gt;="&amp;D18)</f>
        <v>0</v>
      </c>
      <c r="F17" s="40">
        <f t="shared" si="2"/>
        <v>6.617647058823532</v>
      </c>
      <c r="G17" s="41">
        <f>COUNTIF(Vertices[In-Degree],"&gt;= "&amp;F17)-COUNTIF(Vertices[In-Degree],"&gt;="&amp;F18)</f>
        <v>0</v>
      </c>
      <c r="H17" s="40">
        <f t="shared" si="3"/>
        <v>1.7647058823529413</v>
      </c>
      <c r="I17" s="41">
        <f>COUNTIF(Vertices[Out-Degree],"&gt;= "&amp;H17)-COUNTIF(Vertices[Out-Degree],"&gt;="&amp;H18)</f>
        <v>0</v>
      </c>
      <c r="J17" s="40">
        <f t="shared" si="4"/>
        <v>52.5</v>
      </c>
      <c r="K17" s="41">
        <f>COUNTIF(Vertices[Betweenness Centrality],"&gt;= "&amp;J17)-COUNTIF(Vertices[Betweenness Centrality],"&gt;="&amp;J18)</f>
        <v>0</v>
      </c>
      <c r="L17" s="40">
        <f t="shared" si="5"/>
        <v>0.08409617647058824</v>
      </c>
      <c r="M17" s="41">
        <f>COUNTIF(Vertices[Closeness Centrality],"&gt;= "&amp;L17)-COUNTIF(Vertices[Closeness Centrality],"&gt;="&amp;L18)</f>
        <v>0</v>
      </c>
      <c r="N17" s="40">
        <f t="shared" si="6"/>
        <v>0.20646573529411763</v>
      </c>
      <c r="O17" s="41">
        <f>COUNTIF(Vertices[Eigenvector Centrality],"&gt;= "&amp;N17)-COUNTIF(Vertices[Eigenvector Centrality],"&gt;="&amp;N18)</f>
        <v>0</v>
      </c>
      <c r="P17" s="40">
        <f t="shared" si="7"/>
        <v>0.014330852941176477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142</v>
      </c>
      <c r="D18" s="33">
        <f t="shared" si="1"/>
        <v>0</v>
      </c>
      <c r="E18" s="3">
        <f>COUNTIF(Vertices[Degree],"&gt;= "&amp;D18)-COUNTIF(Vertices[Degree],"&gt;="&amp;D19)</f>
        <v>0</v>
      </c>
      <c r="F18" s="38">
        <f t="shared" si="2"/>
        <v>7.058823529411767</v>
      </c>
      <c r="G18" s="39">
        <f>COUNTIF(Vertices[In-Degree],"&gt;= "&amp;F18)-COUNTIF(Vertices[In-Degree],"&gt;="&amp;F19)</f>
        <v>0</v>
      </c>
      <c r="H18" s="38">
        <f t="shared" si="3"/>
        <v>1.8823529411764708</v>
      </c>
      <c r="I18" s="39">
        <f>COUNTIF(Vertices[Out-Degree],"&gt;= "&amp;H18)-COUNTIF(Vertices[Out-Degree],"&gt;="&amp;H19)</f>
        <v>0</v>
      </c>
      <c r="J18" s="38">
        <f t="shared" si="4"/>
        <v>56</v>
      </c>
      <c r="K18" s="39">
        <f>COUNTIF(Vertices[Betweenness Centrality],"&gt;= "&amp;J18)-COUNTIF(Vertices[Betweenness Centrality],"&gt;="&amp;J19)</f>
        <v>0</v>
      </c>
      <c r="L18" s="38">
        <f t="shared" si="5"/>
        <v>0.08970258823529413</v>
      </c>
      <c r="M18" s="39">
        <f>COUNTIF(Vertices[Closeness Centrality],"&gt;= "&amp;L18)-COUNTIF(Vertices[Closeness Centrality],"&gt;="&amp;L19)</f>
        <v>0</v>
      </c>
      <c r="N18" s="38">
        <f t="shared" si="6"/>
        <v>0.2202301176470588</v>
      </c>
      <c r="O18" s="39">
        <f>COUNTIF(Vertices[Eigenvector Centrality],"&gt;= "&amp;N18)-COUNTIF(Vertices[Eigenvector Centrality],"&gt;="&amp;N19)</f>
        <v>0</v>
      </c>
      <c r="P18" s="38">
        <f t="shared" si="7"/>
        <v>0.014552176470588242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7.500000000000003</v>
      </c>
      <c r="G19" s="41">
        <f>COUNTIF(Vertices[In-Degree],"&gt;= "&amp;F19)-COUNTIF(Vertices[In-Degree],"&gt;="&amp;F20)</f>
        <v>0</v>
      </c>
      <c r="H19" s="40">
        <f t="shared" si="3"/>
        <v>2</v>
      </c>
      <c r="I19" s="41">
        <f>COUNTIF(Vertices[Out-Degree],"&gt;= "&amp;H19)-COUNTIF(Vertices[Out-Degree],"&gt;="&amp;H20)</f>
        <v>9</v>
      </c>
      <c r="J19" s="40">
        <f t="shared" si="4"/>
        <v>59.5</v>
      </c>
      <c r="K19" s="41">
        <f>COUNTIF(Vertices[Betweenness Centrality],"&gt;= "&amp;J19)-COUNTIF(Vertices[Betweenness Centrality],"&gt;="&amp;J20)</f>
        <v>0</v>
      </c>
      <c r="L19" s="40">
        <f t="shared" si="5"/>
        <v>0.09530900000000002</v>
      </c>
      <c r="M19" s="41">
        <f>COUNTIF(Vertices[Closeness Centrality],"&gt;= "&amp;L19)-COUNTIF(Vertices[Closeness Centrality],"&gt;="&amp;L20)</f>
        <v>0</v>
      </c>
      <c r="N19" s="40">
        <f t="shared" si="6"/>
        <v>0.23399449999999997</v>
      </c>
      <c r="O19" s="41">
        <f>COUNTIF(Vertices[Eigenvector Centrality],"&gt;= "&amp;N19)-COUNTIF(Vertices[Eigenvector Centrality],"&gt;="&amp;N20)</f>
        <v>0</v>
      </c>
      <c r="P19" s="40">
        <f t="shared" si="7"/>
        <v>0.014773500000000007</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156</v>
      </c>
      <c r="B20" s="35">
        <v>3</v>
      </c>
      <c r="D20" s="33">
        <f t="shared" si="1"/>
        <v>0</v>
      </c>
      <c r="E20" s="3">
        <f>COUNTIF(Vertices[Degree],"&gt;= "&amp;D20)-COUNTIF(Vertices[Degree],"&gt;="&amp;D21)</f>
        <v>0</v>
      </c>
      <c r="F20" s="38">
        <f t="shared" si="2"/>
        <v>7.941176470588238</v>
      </c>
      <c r="G20" s="39">
        <f>COUNTIF(Vertices[In-Degree],"&gt;= "&amp;F20)-COUNTIF(Vertices[In-Degree],"&gt;="&amp;F21)</f>
        <v>0</v>
      </c>
      <c r="H20" s="38">
        <f t="shared" si="3"/>
        <v>2.1176470588235294</v>
      </c>
      <c r="I20" s="39">
        <f>COUNTIF(Vertices[Out-Degree],"&gt;= "&amp;H20)-COUNTIF(Vertices[Out-Degree],"&gt;="&amp;H21)</f>
        <v>0</v>
      </c>
      <c r="J20" s="38">
        <f t="shared" si="4"/>
        <v>63</v>
      </c>
      <c r="K20" s="39">
        <f>COUNTIF(Vertices[Betweenness Centrality],"&gt;= "&amp;J20)-COUNTIF(Vertices[Betweenness Centrality],"&gt;="&amp;J21)</f>
        <v>0</v>
      </c>
      <c r="L20" s="38">
        <f t="shared" si="5"/>
        <v>0.1009154117647059</v>
      </c>
      <c r="M20" s="39">
        <f>COUNTIF(Vertices[Closeness Centrality],"&gt;= "&amp;L20)-COUNTIF(Vertices[Closeness Centrality],"&gt;="&amp;L21)</f>
        <v>1</v>
      </c>
      <c r="N20" s="38">
        <f t="shared" si="6"/>
        <v>0.24775888235294113</v>
      </c>
      <c r="O20" s="39">
        <f>COUNTIF(Vertices[Eigenvector Centrality],"&gt;= "&amp;N20)-COUNTIF(Vertices[Eigenvector Centrality],"&gt;="&amp;N21)</f>
        <v>0</v>
      </c>
      <c r="P20" s="38">
        <f t="shared" si="7"/>
        <v>0.014994823529411772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1.421687</v>
      </c>
      <c r="D21" s="33">
        <f t="shared" si="1"/>
        <v>0</v>
      </c>
      <c r="E21" s="3">
        <f>COUNTIF(Vertices[Degree],"&gt;= "&amp;D21)-COUNTIF(Vertices[Degree],"&gt;="&amp;D22)</f>
        <v>0</v>
      </c>
      <c r="F21" s="40">
        <f t="shared" si="2"/>
        <v>8.382352941176473</v>
      </c>
      <c r="G21" s="41">
        <f>COUNTIF(Vertices[In-Degree],"&gt;= "&amp;F21)-COUNTIF(Vertices[In-Degree],"&gt;="&amp;F22)</f>
        <v>0</v>
      </c>
      <c r="H21" s="40">
        <f t="shared" si="3"/>
        <v>2.235294117647059</v>
      </c>
      <c r="I21" s="41">
        <f>COUNTIF(Vertices[Out-Degree],"&gt;= "&amp;H21)-COUNTIF(Vertices[Out-Degree],"&gt;="&amp;H22)</f>
        <v>0</v>
      </c>
      <c r="J21" s="40">
        <f t="shared" si="4"/>
        <v>66.5</v>
      </c>
      <c r="K21" s="41">
        <f>COUNTIF(Vertices[Betweenness Centrality],"&gt;= "&amp;J21)-COUNTIF(Vertices[Betweenness Centrality],"&gt;="&amp;J22)</f>
        <v>0</v>
      </c>
      <c r="L21" s="40">
        <f t="shared" si="5"/>
        <v>0.1065218235294118</v>
      </c>
      <c r="M21" s="41">
        <f>COUNTIF(Vertices[Closeness Centrality],"&gt;= "&amp;L21)-COUNTIF(Vertices[Closeness Centrality],"&gt;="&amp;L22)</f>
        <v>12</v>
      </c>
      <c r="N21" s="40">
        <f t="shared" si="6"/>
        <v>0.26152326470588233</v>
      </c>
      <c r="O21" s="41">
        <f>COUNTIF(Vertices[Eigenvector Centrality],"&gt;= "&amp;N21)-COUNTIF(Vertices[Eigenvector Centrality],"&gt;="&amp;N22)</f>
        <v>0</v>
      </c>
      <c r="P21" s="40">
        <f t="shared" si="7"/>
        <v>0.015216147058823537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8.823529411764708</v>
      </c>
      <c r="G22" s="39">
        <f>COUNTIF(Vertices[In-Degree],"&gt;= "&amp;F22)-COUNTIF(Vertices[In-Degree],"&gt;="&amp;F23)</f>
        <v>0</v>
      </c>
      <c r="H22" s="38">
        <f t="shared" si="3"/>
        <v>2.3529411764705883</v>
      </c>
      <c r="I22" s="39">
        <f>COUNTIF(Vertices[Out-Degree],"&gt;= "&amp;H22)-COUNTIF(Vertices[Out-Degree],"&gt;="&amp;H23)</f>
        <v>0</v>
      </c>
      <c r="J22" s="38">
        <f t="shared" si="4"/>
        <v>70</v>
      </c>
      <c r="K22" s="39">
        <f>COUNTIF(Vertices[Betweenness Centrality],"&gt;= "&amp;J22)-COUNTIF(Vertices[Betweenness Centrality],"&gt;="&amp;J23)</f>
        <v>0</v>
      </c>
      <c r="L22" s="38">
        <f t="shared" si="5"/>
        <v>0.11212823529411768</v>
      </c>
      <c r="M22" s="39">
        <f>COUNTIF(Vertices[Closeness Centrality],"&gt;= "&amp;L22)-COUNTIF(Vertices[Closeness Centrality],"&gt;="&amp;L23)</f>
        <v>0</v>
      </c>
      <c r="N22" s="38">
        <f t="shared" si="6"/>
        <v>0.2752876470588235</v>
      </c>
      <c r="O22" s="39">
        <f>COUNTIF(Vertices[Eigenvector Centrality],"&gt;= "&amp;N22)-COUNTIF(Vertices[Eigenvector Centrality],"&gt;="&amp;N23)</f>
        <v>0</v>
      </c>
      <c r="P22" s="38">
        <f t="shared" si="7"/>
        <v>0.015437470588235302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0.01360759493670886</v>
      </c>
      <c r="D23" s="33">
        <f t="shared" si="1"/>
        <v>0</v>
      </c>
      <c r="E23" s="3">
        <f>COUNTIF(Vertices[Degree],"&gt;= "&amp;D23)-COUNTIF(Vertices[Degree],"&gt;="&amp;D24)</f>
        <v>0</v>
      </c>
      <c r="F23" s="40">
        <f t="shared" si="2"/>
        <v>9.264705882352944</v>
      </c>
      <c r="G23" s="41">
        <f>COUNTIF(Vertices[In-Degree],"&gt;= "&amp;F23)-COUNTIF(Vertices[In-Degree],"&gt;="&amp;F24)</f>
        <v>0</v>
      </c>
      <c r="H23" s="40">
        <f t="shared" si="3"/>
        <v>2.4705882352941178</v>
      </c>
      <c r="I23" s="41">
        <f>COUNTIF(Vertices[Out-Degree],"&gt;= "&amp;H23)-COUNTIF(Vertices[Out-Degree],"&gt;="&amp;H24)</f>
        <v>0</v>
      </c>
      <c r="J23" s="40">
        <f t="shared" si="4"/>
        <v>73.5</v>
      </c>
      <c r="K23" s="41">
        <f>COUNTIF(Vertices[Betweenness Centrality],"&gt;= "&amp;J23)-COUNTIF(Vertices[Betweenness Centrality],"&gt;="&amp;J24)</f>
        <v>0</v>
      </c>
      <c r="L23" s="40">
        <f t="shared" si="5"/>
        <v>0.11773464705882357</v>
      </c>
      <c r="M23" s="41">
        <f>COUNTIF(Vertices[Closeness Centrality],"&gt;= "&amp;L23)-COUNTIF(Vertices[Closeness Centrality],"&gt;="&amp;L24)</f>
        <v>0</v>
      </c>
      <c r="N23" s="40">
        <f t="shared" si="6"/>
        <v>0.2890520294117647</v>
      </c>
      <c r="O23" s="41">
        <f>COUNTIF(Vertices[Eigenvector Centrality],"&gt;= "&amp;N23)-COUNTIF(Vertices[Eigenvector Centrality],"&gt;="&amp;N24)</f>
        <v>0</v>
      </c>
      <c r="P23" s="40">
        <f t="shared" si="7"/>
        <v>0.015658794117647066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2109</v>
      </c>
      <c r="B24" s="35">
        <v>0.322034</v>
      </c>
      <c r="D24" s="33">
        <f t="shared" si="1"/>
        <v>0</v>
      </c>
      <c r="E24" s="3">
        <f>COUNTIF(Vertices[Degree],"&gt;= "&amp;D24)-COUNTIF(Vertices[Degree],"&gt;="&amp;D25)</f>
        <v>0</v>
      </c>
      <c r="F24" s="38">
        <f t="shared" si="2"/>
        <v>9.70588235294118</v>
      </c>
      <c r="G24" s="39">
        <f>COUNTIF(Vertices[In-Degree],"&gt;= "&amp;F24)-COUNTIF(Vertices[In-Degree],"&gt;="&amp;F25)</f>
        <v>0</v>
      </c>
      <c r="H24" s="38">
        <f t="shared" si="3"/>
        <v>2.588235294117647</v>
      </c>
      <c r="I24" s="39">
        <f>COUNTIF(Vertices[Out-Degree],"&gt;= "&amp;H24)-COUNTIF(Vertices[Out-Degree],"&gt;="&amp;H25)</f>
        <v>0</v>
      </c>
      <c r="J24" s="38">
        <f t="shared" si="4"/>
        <v>77</v>
      </c>
      <c r="K24" s="39">
        <f>COUNTIF(Vertices[Betweenness Centrality],"&gt;= "&amp;J24)-COUNTIF(Vertices[Betweenness Centrality],"&gt;="&amp;J25)</f>
        <v>0</v>
      </c>
      <c r="L24" s="38">
        <f t="shared" si="5"/>
        <v>0.12334105882352946</v>
      </c>
      <c r="M24" s="39">
        <f>COUNTIF(Vertices[Closeness Centrality],"&gt;= "&amp;L24)-COUNTIF(Vertices[Closeness Centrality],"&gt;="&amp;L25)</f>
        <v>0</v>
      </c>
      <c r="N24" s="38">
        <f t="shared" si="6"/>
        <v>0.3028164117647059</v>
      </c>
      <c r="O24" s="39">
        <f>COUNTIF(Vertices[Eigenvector Centrality],"&gt;= "&amp;N24)-COUNTIF(Vertices[Eigenvector Centrality],"&gt;="&amp;N25)</f>
        <v>0</v>
      </c>
      <c r="P24" s="38">
        <f t="shared" si="7"/>
        <v>0.01588011764705883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8"/>
      <c r="B25" s="118"/>
      <c r="D25" s="33">
        <f t="shared" si="1"/>
        <v>0</v>
      </c>
      <c r="E25" s="3">
        <f>COUNTIF(Vertices[Degree],"&gt;= "&amp;D25)-COUNTIF(Vertices[Degree],"&gt;="&amp;D26)</f>
        <v>0</v>
      </c>
      <c r="F25" s="40">
        <f t="shared" si="2"/>
        <v>10.147058823529415</v>
      </c>
      <c r="G25" s="41">
        <f>COUNTIF(Vertices[In-Degree],"&gt;= "&amp;F25)-COUNTIF(Vertices[In-Degree],"&gt;="&amp;F26)</f>
        <v>0</v>
      </c>
      <c r="H25" s="40">
        <f t="shared" si="3"/>
        <v>2.7058823529411766</v>
      </c>
      <c r="I25" s="41">
        <f>COUNTIF(Vertices[Out-Degree],"&gt;= "&amp;H25)-COUNTIF(Vertices[Out-Degree],"&gt;="&amp;H26)</f>
        <v>0</v>
      </c>
      <c r="J25" s="40">
        <f t="shared" si="4"/>
        <v>80.5</v>
      </c>
      <c r="K25" s="41">
        <f>COUNTIF(Vertices[Betweenness Centrality],"&gt;= "&amp;J25)-COUNTIF(Vertices[Betweenness Centrality],"&gt;="&amp;J26)</f>
        <v>0</v>
      </c>
      <c r="L25" s="40">
        <f t="shared" si="5"/>
        <v>0.12894747058823533</v>
      </c>
      <c r="M25" s="41">
        <f>COUNTIF(Vertices[Closeness Centrality],"&gt;= "&amp;L25)-COUNTIF(Vertices[Closeness Centrality],"&gt;="&amp;L26)</f>
        <v>0</v>
      </c>
      <c r="N25" s="40">
        <f t="shared" si="6"/>
        <v>0.3165807941176471</v>
      </c>
      <c r="O25" s="41">
        <f>COUNTIF(Vertices[Eigenvector Centrality],"&gt;= "&amp;N25)-COUNTIF(Vertices[Eigenvector Centrality],"&gt;="&amp;N26)</f>
        <v>0</v>
      </c>
      <c r="P25" s="40">
        <f t="shared" si="7"/>
        <v>0.016101441176470593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2110</v>
      </c>
      <c r="B26" s="35" t="s">
        <v>2125</v>
      </c>
      <c r="D26" s="33">
        <f t="shared" si="1"/>
        <v>0</v>
      </c>
      <c r="E26" s="3">
        <f>COUNTIF(Vertices[Degree],"&gt;= "&amp;D26)-COUNTIF(Vertices[Degree],"&gt;="&amp;D27)</f>
        <v>0</v>
      </c>
      <c r="F26" s="38">
        <f t="shared" si="2"/>
        <v>10.58823529411765</v>
      </c>
      <c r="G26" s="39">
        <f>COUNTIF(Vertices[In-Degree],"&gt;= "&amp;F26)-COUNTIF(Vertices[In-Degree],"&gt;="&amp;F27)</f>
        <v>0</v>
      </c>
      <c r="H26" s="38">
        <f t="shared" si="3"/>
        <v>2.823529411764706</v>
      </c>
      <c r="I26" s="39">
        <f>COUNTIF(Vertices[Out-Degree],"&gt;= "&amp;H26)-COUNTIF(Vertices[Out-Degree],"&gt;="&amp;H27)</f>
        <v>0</v>
      </c>
      <c r="J26" s="38">
        <f t="shared" si="4"/>
        <v>84</v>
      </c>
      <c r="K26" s="39">
        <f>COUNTIF(Vertices[Betweenness Centrality],"&gt;= "&amp;J26)-COUNTIF(Vertices[Betweenness Centrality],"&gt;="&amp;J27)</f>
        <v>0</v>
      </c>
      <c r="L26" s="38">
        <f t="shared" si="5"/>
        <v>0.13455388235294122</v>
      </c>
      <c r="M26" s="39">
        <f>COUNTIF(Vertices[Closeness Centrality],"&gt;= "&amp;L26)-COUNTIF(Vertices[Closeness Centrality],"&gt;="&amp;L27)</f>
        <v>0</v>
      </c>
      <c r="N26" s="38">
        <f t="shared" si="6"/>
        <v>0.3303451764705883</v>
      </c>
      <c r="O26" s="39">
        <f>COUNTIF(Vertices[Eigenvector Centrality],"&gt;= "&amp;N26)-COUNTIF(Vertices[Eigenvector Centrality],"&gt;="&amp;N27)</f>
        <v>0</v>
      </c>
      <c r="P26" s="38">
        <f t="shared" si="7"/>
        <v>0.016322764705882356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11.029411764705886</v>
      </c>
      <c r="G27" s="41">
        <f>COUNTIF(Vertices[In-Degree],"&gt;= "&amp;F27)-COUNTIF(Vertices[In-Degree],"&gt;="&amp;F28)</f>
        <v>0</v>
      </c>
      <c r="H27" s="40">
        <f t="shared" si="3"/>
        <v>2.9411764705882355</v>
      </c>
      <c r="I27" s="41">
        <f>COUNTIF(Vertices[Out-Degree],"&gt;= "&amp;H27)-COUNTIF(Vertices[Out-Degree],"&gt;="&amp;H28)</f>
        <v>14</v>
      </c>
      <c r="J27" s="40">
        <f t="shared" si="4"/>
        <v>87.5</v>
      </c>
      <c r="K27" s="41">
        <f>COUNTIF(Vertices[Betweenness Centrality],"&gt;= "&amp;J27)-COUNTIF(Vertices[Betweenness Centrality],"&gt;="&amp;J28)</f>
        <v>0</v>
      </c>
      <c r="L27" s="40">
        <f t="shared" si="5"/>
        <v>0.1401602941176471</v>
      </c>
      <c r="M27" s="41">
        <f>COUNTIF(Vertices[Closeness Centrality],"&gt;= "&amp;L27)-COUNTIF(Vertices[Closeness Centrality],"&gt;="&amp;L28)</f>
        <v>0</v>
      </c>
      <c r="N27" s="40">
        <f t="shared" si="6"/>
        <v>0.3441095588235295</v>
      </c>
      <c r="O27" s="41">
        <f>COUNTIF(Vertices[Eigenvector Centrality],"&gt;= "&amp;N27)-COUNTIF(Vertices[Eigenvector Centrality],"&gt;="&amp;N28)</f>
        <v>0</v>
      </c>
      <c r="P27" s="40">
        <f t="shared" si="7"/>
        <v>0.01654408823529412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2111</v>
      </c>
      <c r="B28" s="35" t="s">
        <v>2166</v>
      </c>
      <c r="D28" s="33">
        <f t="shared" si="1"/>
        <v>0</v>
      </c>
      <c r="E28" s="3">
        <f>COUNTIF(Vertices[Degree],"&gt;= "&amp;D28)-COUNTIF(Vertices[Degree],"&gt;="&amp;D29)</f>
        <v>0</v>
      </c>
      <c r="F28" s="38">
        <f t="shared" si="2"/>
        <v>11.470588235294121</v>
      </c>
      <c r="G28" s="39">
        <f>COUNTIF(Vertices[In-Degree],"&gt;= "&amp;F28)-COUNTIF(Vertices[In-Degree],"&gt;="&amp;F29)</f>
        <v>0</v>
      </c>
      <c r="H28" s="38">
        <f t="shared" si="3"/>
        <v>3.058823529411765</v>
      </c>
      <c r="I28" s="39">
        <f>COUNTIF(Vertices[Out-Degree],"&gt;= "&amp;H28)-COUNTIF(Vertices[Out-Degree],"&gt;="&amp;H29)</f>
        <v>0</v>
      </c>
      <c r="J28" s="38">
        <f t="shared" si="4"/>
        <v>91</v>
      </c>
      <c r="K28" s="39">
        <f>COUNTIF(Vertices[Betweenness Centrality],"&gt;= "&amp;J28)-COUNTIF(Vertices[Betweenness Centrality],"&gt;="&amp;J29)</f>
        <v>0</v>
      </c>
      <c r="L28" s="38">
        <f t="shared" si="5"/>
        <v>0.145766705882353</v>
      </c>
      <c r="M28" s="39">
        <f>COUNTIF(Vertices[Closeness Centrality],"&gt;= "&amp;L28)-COUNTIF(Vertices[Closeness Centrality],"&gt;="&amp;L29)</f>
        <v>0</v>
      </c>
      <c r="N28" s="38">
        <f t="shared" si="6"/>
        <v>0.3578739411764707</v>
      </c>
      <c r="O28" s="39">
        <f>COUNTIF(Vertices[Eigenvector Centrality],"&gt;= "&amp;N28)-COUNTIF(Vertices[Eigenvector Centrality],"&gt;="&amp;N29)</f>
        <v>0</v>
      </c>
      <c r="P28" s="38">
        <f t="shared" si="7"/>
        <v>0.016765411764705883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2112</v>
      </c>
      <c r="B29" s="35" t="s">
        <v>2167</v>
      </c>
      <c r="D29" s="33">
        <f t="shared" si="1"/>
        <v>0</v>
      </c>
      <c r="E29" s="3">
        <f>COUNTIF(Vertices[Degree],"&gt;= "&amp;D29)-COUNTIF(Vertices[Degree],"&gt;="&amp;D30)</f>
        <v>0</v>
      </c>
      <c r="F29" s="40">
        <f t="shared" si="2"/>
        <v>11.911764705882357</v>
      </c>
      <c r="G29" s="41">
        <f>COUNTIF(Vertices[In-Degree],"&gt;= "&amp;F29)-COUNTIF(Vertices[In-Degree],"&gt;="&amp;F30)</f>
        <v>0</v>
      </c>
      <c r="H29" s="40">
        <f t="shared" si="3"/>
        <v>3.1764705882352944</v>
      </c>
      <c r="I29" s="41">
        <f>COUNTIF(Vertices[Out-Degree],"&gt;= "&amp;H29)-COUNTIF(Vertices[Out-Degree],"&gt;="&amp;H30)</f>
        <v>0</v>
      </c>
      <c r="J29" s="40">
        <f t="shared" si="4"/>
        <v>94.5</v>
      </c>
      <c r="K29" s="41">
        <f>COUNTIF(Vertices[Betweenness Centrality],"&gt;= "&amp;J29)-COUNTIF(Vertices[Betweenness Centrality],"&gt;="&amp;J30)</f>
        <v>0</v>
      </c>
      <c r="L29" s="40">
        <f t="shared" si="5"/>
        <v>0.15137311764705888</v>
      </c>
      <c r="M29" s="41">
        <f>COUNTIF(Vertices[Closeness Centrality],"&gt;= "&amp;L29)-COUNTIF(Vertices[Closeness Centrality],"&gt;="&amp;L30)</f>
        <v>1</v>
      </c>
      <c r="N29" s="40">
        <f t="shared" si="6"/>
        <v>0.3716383235294119</v>
      </c>
      <c r="O29" s="41">
        <f>COUNTIF(Vertices[Eigenvector Centrality],"&gt;= "&amp;N29)-COUNTIF(Vertices[Eigenvector Centrality],"&gt;="&amp;N30)</f>
        <v>0</v>
      </c>
      <c r="P29" s="40">
        <f t="shared" si="7"/>
        <v>0.016986735294117646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12.352941176470592</v>
      </c>
      <c r="G30" s="39">
        <f>COUNTIF(Vertices[In-Degree],"&gt;= "&amp;F30)-COUNTIF(Vertices[In-Degree],"&gt;="&amp;F31)</f>
        <v>0</v>
      </c>
      <c r="H30" s="38">
        <f t="shared" si="3"/>
        <v>3.294117647058824</v>
      </c>
      <c r="I30" s="39">
        <f>COUNTIF(Vertices[Out-Degree],"&gt;= "&amp;H30)-COUNTIF(Vertices[Out-Degree],"&gt;="&amp;H31)</f>
        <v>0</v>
      </c>
      <c r="J30" s="38">
        <f t="shared" si="4"/>
        <v>98</v>
      </c>
      <c r="K30" s="39">
        <f>COUNTIF(Vertices[Betweenness Centrality],"&gt;= "&amp;J30)-COUNTIF(Vertices[Betweenness Centrality],"&gt;="&amp;J31)</f>
        <v>0</v>
      </c>
      <c r="L30" s="38">
        <f t="shared" si="5"/>
        <v>0.15697952941176477</v>
      </c>
      <c r="M30" s="39">
        <f>COUNTIF(Vertices[Closeness Centrality],"&gt;= "&amp;L30)-COUNTIF(Vertices[Closeness Centrality],"&gt;="&amp;L31)</f>
        <v>1</v>
      </c>
      <c r="N30" s="38">
        <f t="shared" si="6"/>
        <v>0.3854027058823531</v>
      </c>
      <c r="O30" s="39">
        <f>COUNTIF(Vertices[Eigenvector Centrality],"&gt;= "&amp;N30)-COUNTIF(Vertices[Eigenvector Centrality],"&gt;="&amp;N31)</f>
        <v>0</v>
      </c>
      <c r="P30" s="38">
        <f t="shared" si="7"/>
        <v>0.01720805882352941</v>
      </c>
      <c r="Q30" s="39">
        <f>COUNTIF(Vertices[PageRank],"&gt;= "&amp;P30)-COUNTIF(Vertices[PageRank],"&gt;="&amp;P31)</f>
        <v>2</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2113</v>
      </c>
      <c r="B31" s="35" t="s">
        <v>2159</v>
      </c>
      <c r="D31" s="33">
        <f t="shared" si="1"/>
        <v>0</v>
      </c>
      <c r="E31" s="3">
        <f>COUNTIF(Vertices[Degree],"&gt;= "&amp;D31)-COUNTIF(Vertices[Degree],"&gt;="&amp;D32)</f>
        <v>0</v>
      </c>
      <c r="F31" s="40">
        <f t="shared" si="2"/>
        <v>12.794117647058828</v>
      </c>
      <c r="G31" s="41">
        <f>COUNTIF(Vertices[In-Degree],"&gt;= "&amp;F31)-COUNTIF(Vertices[In-Degree],"&gt;="&amp;F32)</f>
        <v>2</v>
      </c>
      <c r="H31" s="40">
        <f t="shared" si="3"/>
        <v>3.4117647058823533</v>
      </c>
      <c r="I31" s="41">
        <f>COUNTIF(Vertices[Out-Degree],"&gt;= "&amp;H31)-COUNTIF(Vertices[Out-Degree],"&gt;="&amp;H32)</f>
        <v>0</v>
      </c>
      <c r="J31" s="40">
        <f t="shared" si="4"/>
        <v>101.5</v>
      </c>
      <c r="K31" s="41">
        <f>COUNTIF(Vertices[Betweenness Centrality],"&gt;= "&amp;J31)-COUNTIF(Vertices[Betweenness Centrality],"&gt;="&amp;J32)</f>
        <v>0</v>
      </c>
      <c r="L31" s="40">
        <f t="shared" si="5"/>
        <v>0.16258594117647066</v>
      </c>
      <c r="M31" s="41">
        <f>COUNTIF(Vertices[Closeness Centrality],"&gt;= "&amp;L31)-COUNTIF(Vertices[Closeness Centrality],"&gt;="&amp;L32)</f>
        <v>0</v>
      </c>
      <c r="N31" s="40">
        <f t="shared" si="6"/>
        <v>0.3991670882352943</v>
      </c>
      <c r="O31" s="41">
        <f>COUNTIF(Vertices[Eigenvector Centrality],"&gt;= "&amp;N31)-COUNTIF(Vertices[Eigenvector Centrality],"&gt;="&amp;N32)</f>
        <v>0</v>
      </c>
      <c r="P31" s="40">
        <f t="shared" si="7"/>
        <v>0.017429382352941173</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2114</v>
      </c>
      <c r="B32" s="35" t="s">
        <v>2160</v>
      </c>
      <c r="D32" s="33">
        <f t="shared" si="1"/>
        <v>0</v>
      </c>
      <c r="E32" s="3">
        <f>COUNTIF(Vertices[Degree],"&gt;= "&amp;D32)-COUNTIF(Vertices[Degree],"&gt;="&amp;D33)</f>
        <v>0</v>
      </c>
      <c r="F32" s="38">
        <f t="shared" si="2"/>
        <v>13.235294117647063</v>
      </c>
      <c r="G32" s="39">
        <f>COUNTIF(Vertices[In-Degree],"&gt;= "&amp;F32)-COUNTIF(Vertices[In-Degree],"&gt;="&amp;F33)</f>
        <v>0</v>
      </c>
      <c r="H32" s="38">
        <f t="shared" si="3"/>
        <v>3.5294117647058827</v>
      </c>
      <c r="I32" s="39">
        <f>COUNTIF(Vertices[Out-Degree],"&gt;= "&amp;H32)-COUNTIF(Vertices[Out-Degree],"&gt;="&amp;H33)</f>
        <v>0</v>
      </c>
      <c r="J32" s="38">
        <f t="shared" si="4"/>
        <v>105</v>
      </c>
      <c r="K32" s="39">
        <f>COUNTIF(Vertices[Betweenness Centrality],"&gt;= "&amp;J32)-COUNTIF(Vertices[Betweenness Centrality],"&gt;="&amp;J33)</f>
        <v>0</v>
      </c>
      <c r="L32" s="38">
        <f t="shared" si="5"/>
        <v>0.16819235294117654</v>
      </c>
      <c r="M32" s="39">
        <f>COUNTIF(Vertices[Closeness Centrality],"&gt;= "&amp;L32)-COUNTIF(Vertices[Closeness Centrality],"&gt;="&amp;L33)</f>
        <v>0</v>
      </c>
      <c r="N32" s="38">
        <f t="shared" si="6"/>
        <v>0.4129314705882355</v>
      </c>
      <c r="O32" s="39">
        <f>COUNTIF(Vertices[Eigenvector Centrality],"&gt;= "&amp;N32)-COUNTIF(Vertices[Eigenvector Centrality],"&gt;="&amp;N33)</f>
        <v>1</v>
      </c>
      <c r="P32" s="38">
        <f t="shared" si="7"/>
        <v>0.017650705882352936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2115</v>
      </c>
      <c r="B33" s="54" t="s">
        <v>2161</v>
      </c>
      <c r="D33" s="33">
        <f t="shared" si="1"/>
        <v>0</v>
      </c>
      <c r="E33" s="3">
        <f>COUNTIF(Vertices[Degree],"&gt;= "&amp;D33)-COUNTIF(Vertices[Degree],"&gt;="&amp;D34)</f>
        <v>0</v>
      </c>
      <c r="F33" s="40">
        <f t="shared" si="2"/>
        <v>13.676470588235299</v>
      </c>
      <c r="G33" s="41">
        <f>COUNTIF(Vertices[In-Degree],"&gt;= "&amp;F33)-COUNTIF(Vertices[In-Degree],"&gt;="&amp;F34)</f>
        <v>0</v>
      </c>
      <c r="H33" s="40">
        <f t="shared" si="3"/>
        <v>3.647058823529412</v>
      </c>
      <c r="I33" s="41">
        <f>COUNTIF(Vertices[Out-Degree],"&gt;= "&amp;H33)-COUNTIF(Vertices[Out-Degree],"&gt;="&amp;H34)</f>
        <v>0</v>
      </c>
      <c r="J33" s="40">
        <f t="shared" si="4"/>
        <v>108.5</v>
      </c>
      <c r="K33" s="41">
        <f>COUNTIF(Vertices[Betweenness Centrality],"&gt;= "&amp;J33)-COUNTIF(Vertices[Betweenness Centrality],"&gt;="&amp;J34)</f>
        <v>0</v>
      </c>
      <c r="L33" s="40">
        <f t="shared" si="5"/>
        <v>0.17379876470588243</v>
      </c>
      <c r="M33" s="41">
        <f>COUNTIF(Vertices[Closeness Centrality],"&gt;= "&amp;L33)-COUNTIF(Vertices[Closeness Centrality],"&gt;="&amp;L34)</f>
        <v>0</v>
      </c>
      <c r="N33" s="40">
        <f t="shared" si="6"/>
        <v>0.4266958529411767</v>
      </c>
      <c r="O33" s="41">
        <f>COUNTIF(Vertices[Eigenvector Centrality],"&gt;= "&amp;N33)-COUNTIF(Vertices[Eigenvector Centrality],"&gt;="&amp;N34)</f>
        <v>0</v>
      </c>
      <c r="P33" s="40">
        <f t="shared" si="7"/>
        <v>0.0178720294117647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2116</v>
      </c>
      <c r="B34" s="35" t="s">
        <v>2162</v>
      </c>
      <c r="D34" s="33">
        <f t="shared" si="1"/>
        <v>0</v>
      </c>
      <c r="E34" s="3">
        <f>COUNTIF(Vertices[Degree],"&gt;= "&amp;D34)-COUNTIF(Vertices[Degree],"&gt;="&amp;D35)</f>
        <v>0</v>
      </c>
      <c r="F34" s="38">
        <f t="shared" si="2"/>
        <v>14.117647058823534</v>
      </c>
      <c r="G34" s="39">
        <f>COUNTIF(Vertices[In-Degree],"&gt;= "&amp;F34)-COUNTIF(Vertices[In-Degree],"&gt;="&amp;F35)</f>
        <v>0</v>
      </c>
      <c r="H34" s="38">
        <f t="shared" si="3"/>
        <v>3.7647058823529416</v>
      </c>
      <c r="I34" s="39">
        <f>COUNTIF(Vertices[Out-Degree],"&gt;= "&amp;H34)-COUNTIF(Vertices[Out-Degree],"&gt;="&amp;H35)</f>
        <v>0</v>
      </c>
      <c r="J34" s="38">
        <f t="shared" si="4"/>
        <v>112</v>
      </c>
      <c r="K34" s="39">
        <f>COUNTIF(Vertices[Betweenness Centrality],"&gt;= "&amp;J34)-COUNTIF(Vertices[Betweenness Centrality],"&gt;="&amp;J35)</f>
        <v>0</v>
      </c>
      <c r="L34" s="38">
        <f t="shared" si="5"/>
        <v>0.17940517647058832</v>
      </c>
      <c r="M34" s="39">
        <f>COUNTIF(Vertices[Closeness Centrality],"&gt;= "&amp;L34)-COUNTIF(Vertices[Closeness Centrality],"&gt;="&amp;L35)</f>
        <v>0</v>
      </c>
      <c r="N34" s="38">
        <f t="shared" si="6"/>
        <v>0.4404602352941179</v>
      </c>
      <c r="O34" s="39">
        <f>COUNTIF(Vertices[Eigenvector Centrality],"&gt;= "&amp;N34)-COUNTIF(Vertices[Eigenvector Centrality],"&gt;="&amp;N35)</f>
        <v>1</v>
      </c>
      <c r="P34" s="38">
        <f t="shared" si="7"/>
        <v>0.018093352941176463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2117</v>
      </c>
      <c r="B35" s="35" t="s">
        <v>2163</v>
      </c>
      <c r="D35" s="33">
        <f t="shared" si="1"/>
        <v>0</v>
      </c>
      <c r="E35" s="3">
        <f>COUNTIF(Vertices[Degree],"&gt;= "&amp;D35)-COUNTIF(Vertices[Degree],"&gt;="&amp;D36)</f>
        <v>0</v>
      </c>
      <c r="F35" s="40">
        <f t="shared" si="2"/>
        <v>14.55882352941177</v>
      </c>
      <c r="G35" s="41">
        <f>COUNTIF(Vertices[In-Degree],"&gt;= "&amp;F35)-COUNTIF(Vertices[In-Degree],"&gt;="&amp;F36)</f>
        <v>0</v>
      </c>
      <c r="H35" s="40">
        <f t="shared" si="3"/>
        <v>3.882352941176471</v>
      </c>
      <c r="I35" s="41">
        <f>COUNTIF(Vertices[Out-Degree],"&gt;= "&amp;H35)-COUNTIF(Vertices[Out-Degree],"&gt;="&amp;H36)</f>
        <v>0</v>
      </c>
      <c r="J35" s="40">
        <f t="shared" si="4"/>
        <v>115.5</v>
      </c>
      <c r="K35" s="41">
        <f>COUNTIF(Vertices[Betweenness Centrality],"&gt;= "&amp;J35)-COUNTIF(Vertices[Betweenness Centrality],"&gt;="&amp;J36)</f>
        <v>0</v>
      </c>
      <c r="L35" s="40">
        <f t="shared" si="5"/>
        <v>0.1850115882352942</v>
      </c>
      <c r="M35" s="41">
        <f>COUNTIF(Vertices[Closeness Centrality],"&gt;= "&amp;L35)-COUNTIF(Vertices[Closeness Centrality],"&gt;="&amp;L36)</f>
        <v>0</v>
      </c>
      <c r="N35" s="40">
        <f t="shared" si="6"/>
        <v>0.45422461764705907</v>
      </c>
      <c r="O35" s="41">
        <f>COUNTIF(Vertices[Eigenvector Centrality],"&gt;= "&amp;N35)-COUNTIF(Vertices[Eigenvector Centrality],"&gt;="&amp;N36)</f>
        <v>0</v>
      </c>
      <c r="P35" s="40">
        <f t="shared" si="7"/>
        <v>0.018314676470588227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2118</v>
      </c>
      <c r="B36" s="35" t="s">
        <v>1376</v>
      </c>
      <c r="D36" s="33">
        <f>MAX(Vertices[Degree])</f>
        <v>0</v>
      </c>
      <c r="E36" s="3">
        <f>COUNTIF(Vertices[Degree],"&gt;= "&amp;D36)-COUNTIF(Vertices[Degree],"&gt;="&amp;#REF!)</f>
        <v>0</v>
      </c>
      <c r="F36" s="42">
        <f>MAX(Vertices[In-Degree])</f>
        <v>15</v>
      </c>
      <c r="G36" s="43">
        <f>COUNTIF(Vertices[In-Degree],"&gt;= "&amp;F36)-COUNTIF(Vertices[In-Degree],"&gt;="&amp;#REF!)</f>
        <v>1</v>
      </c>
      <c r="H36" s="42">
        <f>MAX(Vertices[Out-Degree])</f>
        <v>4</v>
      </c>
      <c r="I36" s="43">
        <f>COUNTIF(Vertices[Out-Degree],"&gt;= "&amp;H36)-COUNTIF(Vertices[Out-Degree],"&gt;="&amp;#REF!)</f>
        <v>3</v>
      </c>
      <c r="J36" s="42">
        <f>MAX(Vertices[Betweenness Centrality])</f>
        <v>119</v>
      </c>
      <c r="K36" s="43">
        <f>COUNTIF(Vertices[Betweenness Centrality],"&gt;= "&amp;J36)-COUNTIF(Vertices[Betweenness Centrality],"&gt;="&amp;#REF!)</f>
        <v>1</v>
      </c>
      <c r="L36" s="42">
        <f>MAX(Vertices[Closeness Centrality])</f>
        <v>0.190618</v>
      </c>
      <c r="M36" s="43">
        <f>COUNTIF(Vertices[Closeness Centrality],"&gt;= "&amp;L36)-COUNTIF(Vertices[Closeness Centrality],"&gt;="&amp;#REF!)</f>
        <v>1</v>
      </c>
      <c r="N36" s="42">
        <f>MAX(Vertices[Eigenvector Centrality])</f>
        <v>0.467989</v>
      </c>
      <c r="O36" s="43">
        <f>COUNTIF(Vertices[Eigenvector Centrality],"&gt;= "&amp;N36)-COUNTIF(Vertices[Eigenvector Centrality],"&gt;="&amp;#REF!)</f>
        <v>1</v>
      </c>
      <c r="P36" s="42">
        <f>MAX(Vertices[PageRank])</f>
        <v>0.018536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2119</v>
      </c>
      <c r="B37" s="35" t="s">
        <v>1376</v>
      </c>
    </row>
    <row r="38" spans="1:2" ht="15">
      <c r="A38" s="35" t="s">
        <v>2120</v>
      </c>
      <c r="B38" s="35" t="s">
        <v>1376</v>
      </c>
    </row>
    <row r="39" spans="1:2" ht="15">
      <c r="A39" s="35" t="s">
        <v>2121</v>
      </c>
      <c r="B39" s="35" t="s">
        <v>996</v>
      </c>
    </row>
    <row r="40" spans="1:2" ht="15">
      <c r="A40" s="35" t="s">
        <v>21</v>
      </c>
      <c r="B40" s="35"/>
    </row>
    <row r="41" spans="1:2" ht="15">
      <c r="A41" s="35" t="s">
        <v>2122</v>
      </c>
      <c r="B41" s="35" t="s">
        <v>996</v>
      </c>
    </row>
    <row r="42" spans="1:2" ht="15">
      <c r="A42" s="35" t="s">
        <v>2123</v>
      </c>
      <c r="B42" s="35"/>
    </row>
    <row r="43" spans="1:2" ht="15">
      <c r="A43" s="35" t="s">
        <v>2124</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v>
      </c>
    </row>
    <row r="111" spans="1:2" ht="15">
      <c r="A111" s="34" t="s">
        <v>102</v>
      </c>
      <c r="B111" s="48">
        <f>_xlfn.IFERROR(AVERAGE(Vertices[Betweenness Centrality]),NoMetricMessage)</f>
        <v>3.625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0.190618</v>
      </c>
    </row>
    <row r="125" spans="1:2" ht="15">
      <c r="A125" s="34" t="s">
        <v>108</v>
      </c>
      <c r="B125" s="48">
        <f>_xlfn.IFERROR(AVERAGE(Vertices[Closeness Centrality]),NoMetricMessage)</f>
        <v>0.04148170000000001</v>
      </c>
    </row>
    <row r="126" spans="1:2" ht="15">
      <c r="A126" s="34" t="s">
        <v>109</v>
      </c>
      <c r="B126" s="48">
        <f>_xlfn.IFERROR(MEDIAN(Vertices[Closeness Centrality]),NoMetricMessage)</f>
        <v>0.028481</v>
      </c>
    </row>
    <row r="137" spans="1:2" ht="15">
      <c r="A137" s="34" t="s">
        <v>112</v>
      </c>
      <c r="B137" s="48">
        <f>IF(COUNT(Vertices[Eigenvector Centrality])&gt;0,N2,NoMetricMessage)</f>
        <v>0</v>
      </c>
    </row>
    <row r="138" spans="1:2" ht="15">
      <c r="A138" s="34" t="s">
        <v>113</v>
      </c>
      <c r="B138" s="48">
        <f>IF(COUNT(Vertices[Eigenvector Centrality])&gt;0,N36,NoMetricMessage)</f>
        <v>0.467989</v>
      </c>
    </row>
    <row r="139" spans="1:2" ht="15">
      <c r="A139" s="34" t="s">
        <v>114</v>
      </c>
      <c r="B139" s="48">
        <f>_xlfn.IFERROR(AVERAGE(Vertices[Eigenvector Centrality]),NoMetricMessage)</f>
        <v>0.044815487500000015</v>
      </c>
    </row>
    <row r="140" spans="1:2" ht="15">
      <c r="A140" s="34" t="s">
        <v>115</v>
      </c>
      <c r="B140" s="48">
        <f>_xlfn.IFERROR(MEDIAN(Vertices[Eigenvector Centrality]),NoMetricMessage)</f>
        <v>0</v>
      </c>
    </row>
    <row r="151" spans="1:2" ht="15">
      <c r="A151" s="34" t="s">
        <v>140</v>
      </c>
      <c r="B151" s="48">
        <f>IF(COUNT(Vertices[PageRank])&gt;0,P2,NoMetricMessage)</f>
        <v>0.011011</v>
      </c>
    </row>
    <row r="152" spans="1:2" ht="15">
      <c r="A152" s="34" t="s">
        <v>141</v>
      </c>
      <c r="B152" s="48">
        <f>IF(COUNT(Vertices[PageRank])&gt;0,P36,NoMetricMessage)</f>
        <v>0.018536</v>
      </c>
    </row>
    <row r="153" spans="1:2" ht="15">
      <c r="A153" s="34" t="s">
        <v>142</v>
      </c>
      <c r="B153" s="48">
        <f>_xlfn.IFERROR(AVERAGE(Vertices[PageRank]),NoMetricMessage)</f>
        <v>0.012499962499999994</v>
      </c>
    </row>
    <row r="154" spans="1:2" ht="15">
      <c r="A154" s="34" t="s">
        <v>143</v>
      </c>
      <c r="B154" s="48">
        <f>_xlfn.IFERROR(MEDIAN(Vertices[PageRank]),NoMetricMessage)</f>
        <v>0.0123975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0.21374771062271064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2164</v>
      </c>
    </row>
    <row r="23" spans="4:11" ht="409.5">
      <c r="D23">
        <v>11</v>
      </c>
      <c r="J23" t="s">
        <v>206</v>
      </c>
      <c r="K23" s="13" t="s">
        <v>2165</v>
      </c>
    </row>
    <row r="24" spans="10:11" ht="15">
      <c r="J24" t="s">
        <v>207</v>
      </c>
      <c r="K24" t="s">
        <v>2156</v>
      </c>
    </row>
    <row r="25" spans="10:11" ht="409.5">
      <c r="J25" t="s">
        <v>208</v>
      </c>
      <c r="K25" s="13" t="s">
        <v>2158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F9085-8CCD-46B9-B2D4-9E8CEC531829}">
  <dimension ref="A1:V102"/>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13" t="s">
        <v>1413</v>
      </c>
      <c r="B1" s="13" t="s">
        <v>1424</v>
      </c>
      <c r="C1" s="13" t="s">
        <v>1425</v>
      </c>
      <c r="D1" s="13" t="s">
        <v>1427</v>
      </c>
      <c r="E1" s="13" t="s">
        <v>1426</v>
      </c>
      <c r="F1" s="13" t="s">
        <v>1429</v>
      </c>
      <c r="G1" s="81" t="s">
        <v>1428</v>
      </c>
      <c r="H1" s="81" t="s">
        <v>1431</v>
      </c>
      <c r="I1" s="81" t="s">
        <v>1430</v>
      </c>
      <c r="J1" s="81" t="s">
        <v>1433</v>
      </c>
      <c r="K1" s="81" t="s">
        <v>1432</v>
      </c>
      <c r="L1" s="81" t="s">
        <v>1435</v>
      </c>
      <c r="M1" s="13" t="s">
        <v>1434</v>
      </c>
      <c r="N1" s="13" t="s">
        <v>1438</v>
      </c>
      <c r="O1" s="13" t="s">
        <v>1437</v>
      </c>
      <c r="P1" s="13" t="s">
        <v>1442</v>
      </c>
      <c r="Q1" s="81" t="s">
        <v>1441</v>
      </c>
      <c r="R1" s="81" t="s">
        <v>1444</v>
      </c>
      <c r="S1" s="81" t="s">
        <v>1443</v>
      </c>
      <c r="T1" s="81" t="s">
        <v>1446</v>
      </c>
      <c r="U1" s="13" t="s">
        <v>1445</v>
      </c>
      <c r="V1" s="13" t="s">
        <v>1447</v>
      </c>
    </row>
    <row r="2" spans="1:22" ht="15">
      <c r="A2" s="86" t="s">
        <v>1414</v>
      </c>
      <c r="B2" s="81">
        <v>8</v>
      </c>
      <c r="C2" s="86" t="s">
        <v>1415</v>
      </c>
      <c r="D2" s="81">
        <v>8</v>
      </c>
      <c r="E2" s="86" t="s">
        <v>1414</v>
      </c>
      <c r="F2" s="81">
        <v>2</v>
      </c>
      <c r="G2" s="81"/>
      <c r="H2" s="81"/>
      <c r="I2" s="81"/>
      <c r="J2" s="81"/>
      <c r="K2" s="81"/>
      <c r="L2" s="81"/>
      <c r="M2" s="86" t="s">
        <v>1414</v>
      </c>
      <c r="N2" s="81">
        <v>5</v>
      </c>
      <c r="O2" s="86" t="s">
        <v>1439</v>
      </c>
      <c r="P2" s="81">
        <v>1</v>
      </c>
      <c r="Q2" s="81"/>
      <c r="R2" s="81"/>
      <c r="S2" s="81"/>
      <c r="T2" s="81"/>
      <c r="U2" s="86" t="s">
        <v>1420</v>
      </c>
      <c r="V2" s="81">
        <v>2</v>
      </c>
    </row>
    <row r="3" spans="1:22" ht="15">
      <c r="A3" s="85" t="s">
        <v>1415</v>
      </c>
      <c r="B3" s="81">
        <v>8</v>
      </c>
      <c r="C3" s="86" t="s">
        <v>1416</v>
      </c>
      <c r="D3" s="81">
        <v>7</v>
      </c>
      <c r="E3" s="86" t="s">
        <v>1419</v>
      </c>
      <c r="F3" s="81">
        <v>1</v>
      </c>
      <c r="G3" s="81"/>
      <c r="H3" s="81"/>
      <c r="I3" s="81"/>
      <c r="J3" s="81"/>
      <c r="K3" s="81"/>
      <c r="L3" s="81"/>
      <c r="M3" s="86" t="s">
        <v>1436</v>
      </c>
      <c r="N3" s="81">
        <v>1</v>
      </c>
      <c r="O3" s="86" t="s">
        <v>1440</v>
      </c>
      <c r="P3" s="81">
        <v>1</v>
      </c>
      <c r="Q3" s="81"/>
      <c r="R3" s="81"/>
      <c r="S3" s="81"/>
      <c r="T3" s="81"/>
      <c r="U3" s="81"/>
      <c r="V3" s="81"/>
    </row>
    <row r="4" spans="1:22" ht="15">
      <c r="A4" s="85" t="s">
        <v>1416</v>
      </c>
      <c r="B4" s="81">
        <v>7</v>
      </c>
      <c r="C4" s="81"/>
      <c r="D4" s="81"/>
      <c r="E4" s="81"/>
      <c r="F4" s="81"/>
      <c r="G4" s="81"/>
      <c r="H4" s="81"/>
      <c r="I4" s="81"/>
      <c r="J4" s="81"/>
      <c r="K4" s="81"/>
      <c r="L4" s="81"/>
      <c r="M4" s="81"/>
      <c r="N4" s="81"/>
      <c r="O4" s="86" t="s">
        <v>1414</v>
      </c>
      <c r="P4" s="81">
        <v>1</v>
      </c>
      <c r="Q4" s="81"/>
      <c r="R4" s="81"/>
      <c r="S4" s="81"/>
      <c r="T4" s="81"/>
      <c r="U4" s="81"/>
      <c r="V4" s="81"/>
    </row>
    <row r="5" spans="1:22" ht="15">
      <c r="A5" s="85" t="s">
        <v>1417</v>
      </c>
      <c r="B5" s="81">
        <v>2</v>
      </c>
      <c r="C5" s="81"/>
      <c r="D5" s="81"/>
      <c r="E5" s="81"/>
      <c r="F5" s="81"/>
      <c r="G5" s="81"/>
      <c r="H5" s="81"/>
      <c r="I5" s="81"/>
      <c r="J5" s="81"/>
      <c r="K5" s="81"/>
      <c r="L5" s="81"/>
      <c r="M5" s="81"/>
      <c r="N5" s="81"/>
      <c r="O5" s="81"/>
      <c r="P5" s="81"/>
      <c r="Q5" s="81"/>
      <c r="R5" s="81"/>
      <c r="S5" s="81"/>
      <c r="T5" s="81"/>
      <c r="U5" s="81"/>
      <c r="V5" s="81"/>
    </row>
    <row r="6" spans="1:22" ht="15">
      <c r="A6" s="85" t="s">
        <v>1418</v>
      </c>
      <c r="B6" s="81">
        <v>2</v>
      </c>
      <c r="C6" s="81"/>
      <c r="D6" s="81"/>
      <c r="E6" s="81"/>
      <c r="F6" s="81"/>
      <c r="G6" s="81"/>
      <c r="H6" s="81"/>
      <c r="I6" s="81"/>
      <c r="J6" s="81"/>
      <c r="K6" s="81"/>
      <c r="L6" s="81"/>
      <c r="M6" s="81"/>
      <c r="N6" s="81"/>
      <c r="O6" s="81"/>
      <c r="P6" s="81"/>
      <c r="Q6" s="81"/>
      <c r="R6" s="81"/>
      <c r="S6" s="81"/>
      <c r="T6" s="81"/>
      <c r="U6" s="81"/>
      <c r="V6" s="81"/>
    </row>
    <row r="7" spans="1:22" ht="15">
      <c r="A7" s="85" t="s">
        <v>1419</v>
      </c>
      <c r="B7" s="81">
        <v>2</v>
      </c>
      <c r="C7" s="81"/>
      <c r="D7" s="81"/>
      <c r="E7" s="81"/>
      <c r="F7" s="81"/>
      <c r="G7" s="81"/>
      <c r="H7" s="81"/>
      <c r="I7" s="81"/>
      <c r="J7" s="81"/>
      <c r="K7" s="81"/>
      <c r="L7" s="81"/>
      <c r="M7" s="81"/>
      <c r="N7" s="81"/>
      <c r="O7" s="81"/>
      <c r="P7" s="81"/>
      <c r="Q7" s="81"/>
      <c r="R7" s="81"/>
      <c r="S7" s="81"/>
      <c r="T7" s="81"/>
      <c r="U7" s="81"/>
      <c r="V7" s="81"/>
    </row>
    <row r="8" spans="1:22" ht="15">
      <c r="A8" s="85" t="s">
        <v>1420</v>
      </c>
      <c r="B8" s="81">
        <v>2</v>
      </c>
      <c r="C8" s="81"/>
      <c r="D8" s="81"/>
      <c r="E8" s="81"/>
      <c r="F8" s="81"/>
      <c r="G8" s="81"/>
      <c r="H8" s="81"/>
      <c r="I8" s="81"/>
      <c r="J8" s="81"/>
      <c r="K8" s="81"/>
      <c r="L8" s="81"/>
      <c r="M8" s="81"/>
      <c r="N8" s="81"/>
      <c r="O8" s="81"/>
      <c r="P8" s="81"/>
      <c r="Q8" s="81"/>
      <c r="R8" s="81"/>
      <c r="S8" s="81"/>
      <c r="T8" s="81"/>
      <c r="U8" s="81"/>
      <c r="V8" s="81"/>
    </row>
    <row r="9" spans="1:22" ht="15">
      <c r="A9" s="85" t="s">
        <v>1421</v>
      </c>
      <c r="B9" s="81">
        <v>2</v>
      </c>
      <c r="C9" s="81"/>
      <c r="D9" s="81"/>
      <c r="E9" s="81"/>
      <c r="F9" s="81"/>
      <c r="G9" s="81"/>
      <c r="H9" s="81"/>
      <c r="I9" s="81"/>
      <c r="J9" s="81"/>
      <c r="K9" s="81"/>
      <c r="L9" s="81"/>
      <c r="M9" s="81"/>
      <c r="N9" s="81"/>
      <c r="O9" s="81"/>
      <c r="P9" s="81"/>
      <c r="Q9" s="81"/>
      <c r="R9" s="81"/>
      <c r="S9" s="81"/>
      <c r="T9" s="81"/>
      <c r="U9" s="81"/>
      <c r="V9" s="81"/>
    </row>
    <row r="10" spans="1:22" ht="15">
      <c r="A10" s="85" t="s">
        <v>1422</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1423</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1455</v>
      </c>
      <c r="B14" s="13" t="s">
        <v>1424</v>
      </c>
      <c r="C14" s="13" t="s">
        <v>1458</v>
      </c>
      <c r="D14" s="13" t="s">
        <v>1427</v>
      </c>
      <c r="E14" s="13" t="s">
        <v>1459</v>
      </c>
      <c r="F14" s="13" t="s">
        <v>1429</v>
      </c>
      <c r="G14" s="81" t="s">
        <v>1460</v>
      </c>
      <c r="H14" s="81" t="s">
        <v>1431</v>
      </c>
      <c r="I14" s="81" t="s">
        <v>1461</v>
      </c>
      <c r="J14" s="81" t="s">
        <v>1433</v>
      </c>
      <c r="K14" s="81" t="s">
        <v>1462</v>
      </c>
      <c r="L14" s="81" t="s">
        <v>1435</v>
      </c>
      <c r="M14" s="13" t="s">
        <v>1463</v>
      </c>
      <c r="N14" s="13" t="s">
        <v>1438</v>
      </c>
      <c r="O14" s="13" t="s">
        <v>1464</v>
      </c>
      <c r="P14" s="13" t="s">
        <v>1442</v>
      </c>
      <c r="Q14" s="81" t="s">
        <v>1465</v>
      </c>
      <c r="R14" s="81" t="s">
        <v>1444</v>
      </c>
      <c r="S14" s="81" t="s">
        <v>1466</v>
      </c>
      <c r="T14" s="81" t="s">
        <v>1446</v>
      </c>
      <c r="U14" s="13" t="s">
        <v>1467</v>
      </c>
      <c r="V14" s="13" t="s">
        <v>1447</v>
      </c>
    </row>
    <row r="15" spans="1:22" ht="15">
      <c r="A15" s="81" t="s">
        <v>521</v>
      </c>
      <c r="B15" s="81">
        <v>10</v>
      </c>
      <c r="C15" s="81" t="s">
        <v>523</v>
      </c>
      <c r="D15" s="81">
        <v>8</v>
      </c>
      <c r="E15" s="81" t="s">
        <v>521</v>
      </c>
      <c r="F15" s="81">
        <v>3</v>
      </c>
      <c r="G15" s="81"/>
      <c r="H15" s="81"/>
      <c r="I15" s="81"/>
      <c r="J15" s="81"/>
      <c r="K15" s="81"/>
      <c r="L15" s="81"/>
      <c r="M15" s="81" t="s">
        <v>521</v>
      </c>
      <c r="N15" s="81">
        <v>5</v>
      </c>
      <c r="O15" s="81" t="s">
        <v>1456</v>
      </c>
      <c r="P15" s="81">
        <v>1</v>
      </c>
      <c r="Q15" s="81"/>
      <c r="R15" s="81"/>
      <c r="S15" s="81"/>
      <c r="T15" s="81"/>
      <c r="U15" s="81" t="s">
        <v>527</v>
      </c>
      <c r="V15" s="81">
        <v>2</v>
      </c>
    </row>
    <row r="16" spans="1:22" ht="15">
      <c r="A16" s="82" t="s">
        <v>523</v>
      </c>
      <c r="B16" s="81">
        <v>9</v>
      </c>
      <c r="C16" s="81" t="s">
        <v>522</v>
      </c>
      <c r="D16" s="81">
        <v>7</v>
      </c>
      <c r="E16" s="81"/>
      <c r="F16" s="81"/>
      <c r="G16" s="81"/>
      <c r="H16" s="81"/>
      <c r="I16" s="81"/>
      <c r="J16" s="81"/>
      <c r="K16" s="81"/>
      <c r="L16" s="81"/>
      <c r="M16" s="81" t="s">
        <v>525</v>
      </c>
      <c r="N16" s="81">
        <v>1</v>
      </c>
      <c r="O16" s="81" t="s">
        <v>1457</v>
      </c>
      <c r="P16" s="81">
        <v>1</v>
      </c>
      <c r="Q16" s="81"/>
      <c r="R16" s="81"/>
      <c r="S16" s="81"/>
      <c r="T16" s="81"/>
      <c r="U16" s="81"/>
      <c r="V16" s="81"/>
    </row>
    <row r="17" spans="1:22" ht="15">
      <c r="A17" s="82" t="s">
        <v>524</v>
      </c>
      <c r="B17" s="81">
        <v>7</v>
      </c>
      <c r="C17" s="81"/>
      <c r="D17" s="81"/>
      <c r="E17" s="81"/>
      <c r="F17" s="81"/>
      <c r="G17" s="81"/>
      <c r="H17" s="81"/>
      <c r="I17" s="81"/>
      <c r="J17" s="81"/>
      <c r="K17" s="81"/>
      <c r="L17" s="81"/>
      <c r="M17" s="81"/>
      <c r="N17" s="81"/>
      <c r="O17" s="81" t="s">
        <v>521</v>
      </c>
      <c r="P17" s="81">
        <v>1</v>
      </c>
      <c r="Q17" s="81"/>
      <c r="R17" s="81"/>
      <c r="S17" s="81"/>
      <c r="T17" s="81"/>
      <c r="U17" s="81"/>
      <c r="V17" s="81"/>
    </row>
    <row r="18" spans="1:22" ht="15">
      <c r="A18" s="82" t="s">
        <v>522</v>
      </c>
      <c r="B18" s="81">
        <v>7</v>
      </c>
      <c r="C18" s="81"/>
      <c r="D18" s="81"/>
      <c r="E18" s="81"/>
      <c r="F18" s="81"/>
      <c r="G18" s="81"/>
      <c r="H18" s="81"/>
      <c r="I18" s="81"/>
      <c r="J18" s="81"/>
      <c r="K18" s="81"/>
      <c r="L18" s="81"/>
      <c r="M18" s="81"/>
      <c r="N18" s="81"/>
      <c r="O18" s="81"/>
      <c r="P18" s="81"/>
      <c r="Q18" s="81"/>
      <c r="R18" s="81"/>
      <c r="S18" s="81"/>
      <c r="T18" s="81"/>
      <c r="U18" s="81"/>
      <c r="V18" s="81"/>
    </row>
    <row r="19" spans="1:22" ht="15">
      <c r="A19" s="82" t="s">
        <v>527</v>
      </c>
      <c r="B19" s="81">
        <v>2</v>
      </c>
      <c r="C19" s="81"/>
      <c r="D19" s="81"/>
      <c r="E19" s="81"/>
      <c r="F19" s="81"/>
      <c r="G19" s="81"/>
      <c r="H19" s="81"/>
      <c r="I19" s="81"/>
      <c r="J19" s="81"/>
      <c r="K19" s="81"/>
      <c r="L19" s="81"/>
      <c r="M19" s="81"/>
      <c r="N19" s="81"/>
      <c r="O19" s="81"/>
      <c r="P19" s="81"/>
      <c r="Q19" s="81"/>
      <c r="R19" s="81"/>
      <c r="S19" s="81"/>
      <c r="T19" s="81"/>
      <c r="U19" s="81"/>
      <c r="V19" s="81"/>
    </row>
    <row r="20" spans="1:22" ht="15">
      <c r="A20" s="82" t="s">
        <v>1456</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1457</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528</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525</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526</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1473</v>
      </c>
      <c r="B27" s="13" t="s">
        <v>1424</v>
      </c>
      <c r="C27" s="81" t="s">
        <v>1481</v>
      </c>
      <c r="D27" s="81" t="s">
        <v>1427</v>
      </c>
      <c r="E27" s="13" t="s">
        <v>1482</v>
      </c>
      <c r="F27" s="13" t="s">
        <v>1429</v>
      </c>
      <c r="G27" s="81" t="s">
        <v>1483</v>
      </c>
      <c r="H27" s="81" t="s">
        <v>1431</v>
      </c>
      <c r="I27" s="81" t="s">
        <v>1484</v>
      </c>
      <c r="J27" s="81" t="s">
        <v>1433</v>
      </c>
      <c r="K27" s="81" t="s">
        <v>1485</v>
      </c>
      <c r="L27" s="81" t="s">
        <v>1435</v>
      </c>
      <c r="M27" s="81" t="s">
        <v>1486</v>
      </c>
      <c r="N27" s="81" t="s">
        <v>1438</v>
      </c>
      <c r="O27" s="81" t="s">
        <v>1487</v>
      </c>
      <c r="P27" s="81" t="s">
        <v>1442</v>
      </c>
      <c r="Q27" s="81" t="s">
        <v>1488</v>
      </c>
      <c r="R27" s="81" t="s">
        <v>1444</v>
      </c>
      <c r="S27" s="81" t="s">
        <v>1489</v>
      </c>
      <c r="T27" s="81" t="s">
        <v>1446</v>
      </c>
      <c r="U27" s="81" t="s">
        <v>1490</v>
      </c>
      <c r="V27" s="81" t="s">
        <v>1447</v>
      </c>
    </row>
    <row r="28" spans="1:22" ht="15">
      <c r="A28" s="81" t="s">
        <v>1474</v>
      </c>
      <c r="B28" s="81">
        <v>2</v>
      </c>
      <c r="C28" s="81"/>
      <c r="D28" s="81"/>
      <c r="E28" s="81" t="s">
        <v>1478</v>
      </c>
      <c r="F28" s="81">
        <v>1</v>
      </c>
      <c r="G28" s="81"/>
      <c r="H28" s="81"/>
      <c r="I28" s="81"/>
      <c r="J28" s="81"/>
      <c r="K28" s="81"/>
      <c r="L28" s="81"/>
      <c r="M28" s="81"/>
      <c r="N28" s="81"/>
      <c r="O28" s="81"/>
      <c r="P28" s="81"/>
      <c r="Q28" s="81"/>
      <c r="R28" s="81"/>
      <c r="S28" s="81"/>
      <c r="T28" s="81"/>
      <c r="U28" s="81"/>
      <c r="V28" s="81"/>
    </row>
    <row r="29" spans="1:22" ht="15">
      <c r="A29" s="82" t="s">
        <v>1475</v>
      </c>
      <c r="B29" s="81">
        <v>2</v>
      </c>
      <c r="C29" s="81"/>
      <c r="D29" s="81"/>
      <c r="E29" s="81" t="s">
        <v>1479</v>
      </c>
      <c r="F29" s="81">
        <v>1</v>
      </c>
      <c r="G29" s="81"/>
      <c r="H29" s="81"/>
      <c r="I29" s="81"/>
      <c r="J29" s="81"/>
      <c r="K29" s="81"/>
      <c r="L29" s="81"/>
      <c r="M29" s="81"/>
      <c r="N29" s="81"/>
      <c r="O29" s="81"/>
      <c r="P29" s="81"/>
      <c r="Q29" s="81"/>
      <c r="R29" s="81"/>
      <c r="S29" s="81"/>
      <c r="T29" s="81"/>
      <c r="U29" s="81"/>
      <c r="V29" s="81"/>
    </row>
    <row r="30" spans="1:22" ht="15">
      <c r="A30" s="82" t="s">
        <v>1476</v>
      </c>
      <c r="B30" s="81">
        <v>2</v>
      </c>
      <c r="C30" s="81"/>
      <c r="D30" s="81"/>
      <c r="E30" s="81" t="s">
        <v>1474</v>
      </c>
      <c r="F30" s="81">
        <v>1</v>
      </c>
      <c r="G30" s="81"/>
      <c r="H30" s="81"/>
      <c r="I30" s="81"/>
      <c r="J30" s="81"/>
      <c r="K30" s="81"/>
      <c r="L30" s="81"/>
      <c r="M30" s="81"/>
      <c r="N30" s="81"/>
      <c r="O30" s="81"/>
      <c r="P30" s="81"/>
      <c r="Q30" s="81"/>
      <c r="R30" s="81"/>
      <c r="S30" s="81"/>
      <c r="T30" s="81"/>
      <c r="U30" s="81"/>
      <c r="V30" s="81"/>
    </row>
    <row r="31" spans="1:22" ht="15">
      <c r="A31" s="82" t="s">
        <v>1477</v>
      </c>
      <c r="B31" s="81">
        <v>2</v>
      </c>
      <c r="C31" s="81"/>
      <c r="D31" s="81"/>
      <c r="E31" s="81" t="s">
        <v>1480</v>
      </c>
      <c r="F31" s="81">
        <v>1</v>
      </c>
      <c r="G31" s="81"/>
      <c r="H31" s="81"/>
      <c r="I31" s="81"/>
      <c r="J31" s="81"/>
      <c r="K31" s="81"/>
      <c r="L31" s="81"/>
      <c r="M31" s="81"/>
      <c r="N31" s="81"/>
      <c r="O31" s="81"/>
      <c r="P31" s="81"/>
      <c r="Q31" s="81"/>
      <c r="R31" s="81"/>
      <c r="S31" s="81"/>
      <c r="T31" s="81"/>
      <c r="U31" s="81"/>
      <c r="V31" s="81"/>
    </row>
    <row r="32" spans="1:22" ht="15">
      <c r="A32" s="82" t="s">
        <v>539</v>
      </c>
      <c r="B32" s="81">
        <v>1</v>
      </c>
      <c r="C32" s="81"/>
      <c r="D32" s="81"/>
      <c r="E32" s="81" t="s">
        <v>538</v>
      </c>
      <c r="F32" s="81">
        <v>1</v>
      </c>
      <c r="G32" s="81"/>
      <c r="H32" s="81"/>
      <c r="I32" s="81"/>
      <c r="J32" s="81"/>
      <c r="K32" s="81"/>
      <c r="L32" s="81"/>
      <c r="M32" s="81"/>
      <c r="N32" s="81"/>
      <c r="O32" s="81"/>
      <c r="P32" s="81"/>
      <c r="Q32" s="81"/>
      <c r="R32" s="81"/>
      <c r="S32" s="81"/>
      <c r="T32" s="81"/>
      <c r="U32" s="81"/>
      <c r="V32" s="81"/>
    </row>
    <row r="33" spans="1:22" ht="15">
      <c r="A33" s="82" t="s">
        <v>538</v>
      </c>
      <c r="B33" s="81">
        <v>1</v>
      </c>
      <c r="C33" s="81"/>
      <c r="D33" s="81"/>
      <c r="E33" s="81" t="s">
        <v>539</v>
      </c>
      <c r="F33" s="81">
        <v>1</v>
      </c>
      <c r="G33" s="81"/>
      <c r="H33" s="81"/>
      <c r="I33" s="81"/>
      <c r="J33" s="81"/>
      <c r="K33" s="81"/>
      <c r="L33" s="81"/>
      <c r="M33" s="81"/>
      <c r="N33" s="81"/>
      <c r="O33" s="81"/>
      <c r="P33" s="81"/>
      <c r="Q33" s="81"/>
      <c r="R33" s="81"/>
      <c r="S33" s="81"/>
      <c r="T33" s="81"/>
      <c r="U33" s="81"/>
      <c r="V33" s="81"/>
    </row>
    <row r="34" spans="1:22" ht="15">
      <c r="A34" s="82" t="s">
        <v>1478</v>
      </c>
      <c r="B34" s="81">
        <v>1</v>
      </c>
      <c r="C34" s="81"/>
      <c r="D34" s="81"/>
      <c r="E34" s="81"/>
      <c r="F34" s="81"/>
      <c r="G34" s="81"/>
      <c r="H34" s="81"/>
      <c r="I34" s="81"/>
      <c r="J34" s="81"/>
      <c r="K34" s="81"/>
      <c r="L34" s="81"/>
      <c r="M34" s="81"/>
      <c r="N34" s="81"/>
      <c r="O34" s="81"/>
      <c r="P34" s="81"/>
      <c r="Q34" s="81"/>
      <c r="R34" s="81"/>
      <c r="S34" s="81"/>
      <c r="T34" s="81"/>
      <c r="U34" s="81"/>
      <c r="V34" s="81"/>
    </row>
    <row r="35" spans="1:22" ht="15">
      <c r="A35" s="82" t="s">
        <v>1479</v>
      </c>
      <c r="B35" s="81">
        <v>1</v>
      </c>
      <c r="C35" s="81"/>
      <c r="D35" s="81"/>
      <c r="E35" s="81"/>
      <c r="F35" s="81"/>
      <c r="G35" s="81"/>
      <c r="H35" s="81"/>
      <c r="I35" s="81"/>
      <c r="J35" s="81"/>
      <c r="K35" s="81"/>
      <c r="L35" s="81"/>
      <c r="M35" s="81"/>
      <c r="N35" s="81"/>
      <c r="O35" s="81"/>
      <c r="P35" s="81"/>
      <c r="Q35" s="81"/>
      <c r="R35" s="81"/>
      <c r="S35" s="81"/>
      <c r="T35" s="81"/>
      <c r="U35" s="81"/>
      <c r="V35" s="81"/>
    </row>
    <row r="36" spans="1:22" ht="15">
      <c r="A36" s="82" t="s">
        <v>1480</v>
      </c>
      <c r="B36" s="81">
        <v>1</v>
      </c>
      <c r="C36" s="81"/>
      <c r="D36" s="81"/>
      <c r="E36" s="81"/>
      <c r="F36" s="81"/>
      <c r="G36" s="81"/>
      <c r="H36" s="81"/>
      <c r="I36" s="81"/>
      <c r="J36" s="81"/>
      <c r="K36" s="81"/>
      <c r="L36" s="81"/>
      <c r="M36" s="81"/>
      <c r="N36" s="81"/>
      <c r="O36" s="81"/>
      <c r="P36" s="81"/>
      <c r="Q36" s="81"/>
      <c r="R36" s="81"/>
      <c r="S36" s="81"/>
      <c r="T36" s="81"/>
      <c r="U36" s="81"/>
      <c r="V36" s="81"/>
    </row>
    <row r="37" spans="1:22" ht="15">
      <c r="A37" s="82" t="s">
        <v>536</v>
      </c>
      <c r="B37" s="81">
        <v>1</v>
      </c>
      <c r="C37" s="81"/>
      <c r="D37" s="81"/>
      <c r="E37" s="81"/>
      <c r="F37" s="81"/>
      <c r="G37" s="81"/>
      <c r="H37" s="81"/>
      <c r="I37" s="81"/>
      <c r="J37" s="81"/>
      <c r="K37" s="81"/>
      <c r="L37" s="81"/>
      <c r="M37" s="81"/>
      <c r="N37" s="81"/>
      <c r="O37" s="81"/>
      <c r="P37" s="81"/>
      <c r="Q37" s="81"/>
      <c r="R37" s="81"/>
      <c r="S37" s="81"/>
      <c r="T37" s="81"/>
      <c r="U37" s="81"/>
      <c r="V37" s="81"/>
    </row>
    <row r="40" spans="1:22" ht="15" customHeight="1">
      <c r="A40" s="13" t="s">
        <v>1494</v>
      </c>
      <c r="B40" s="13" t="s">
        <v>1424</v>
      </c>
      <c r="C40" s="13" t="s">
        <v>1504</v>
      </c>
      <c r="D40" s="13" t="s">
        <v>1427</v>
      </c>
      <c r="E40" s="13" t="s">
        <v>1511</v>
      </c>
      <c r="F40" s="13" t="s">
        <v>1429</v>
      </c>
      <c r="G40" s="13" t="s">
        <v>1512</v>
      </c>
      <c r="H40" s="13" t="s">
        <v>1431</v>
      </c>
      <c r="I40" s="81" t="s">
        <v>1514</v>
      </c>
      <c r="J40" s="81" t="s">
        <v>1433</v>
      </c>
      <c r="K40" s="13" t="s">
        <v>1515</v>
      </c>
      <c r="L40" s="13" t="s">
        <v>1435</v>
      </c>
      <c r="M40" s="13" t="s">
        <v>1518</v>
      </c>
      <c r="N40" s="13" t="s">
        <v>1438</v>
      </c>
      <c r="O40" s="13" t="s">
        <v>1525</v>
      </c>
      <c r="P40" s="13" t="s">
        <v>1442</v>
      </c>
      <c r="Q40" s="13" t="s">
        <v>1526</v>
      </c>
      <c r="R40" s="13" t="s">
        <v>1444</v>
      </c>
      <c r="S40" s="13" t="s">
        <v>1528</v>
      </c>
      <c r="T40" s="13" t="s">
        <v>1446</v>
      </c>
      <c r="U40" s="13" t="s">
        <v>1536</v>
      </c>
      <c r="V40" s="13" t="s">
        <v>1447</v>
      </c>
    </row>
    <row r="41" spans="1:22" ht="15">
      <c r="A41" s="90" t="s">
        <v>1495</v>
      </c>
      <c r="B41" s="90">
        <v>220</v>
      </c>
      <c r="C41" s="90" t="s">
        <v>1495</v>
      </c>
      <c r="D41" s="90">
        <v>20</v>
      </c>
      <c r="E41" s="90" t="s">
        <v>1495</v>
      </c>
      <c r="F41" s="90">
        <v>163</v>
      </c>
      <c r="G41" s="90" t="s">
        <v>321</v>
      </c>
      <c r="H41" s="90">
        <v>4</v>
      </c>
      <c r="I41" s="90"/>
      <c r="J41" s="90"/>
      <c r="K41" s="90" t="s">
        <v>1516</v>
      </c>
      <c r="L41" s="90">
        <v>2</v>
      </c>
      <c r="M41" s="90" t="s">
        <v>1495</v>
      </c>
      <c r="N41" s="90">
        <v>5</v>
      </c>
      <c r="O41" s="90" t="s">
        <v>1495</v>
      </c>
      <c r="P41" s="90">
        <v>2</v>
      </c>
      <c r="Q41" s="90" t="s">
        <v>310</v>
      </c>
      <c r="R41" s="90">
        <v>5</v>
      </c>
      <c r="S41" s="90" t="s">
        <v>539</v>
      </c>
      <c r="T41" s="90">
        <v>3</v>
      </c>
      <c r="U41" s="90" t="s">
        <v>1537</v>
      </c>
      <c r="V41" s="90">
        <v>2</v>
      </c>
    </row>
    <row r="42" spans="1:22" ht="15">
      <c r="A42" s="87" t="s">
        <v>1496</v>
      </c>
      <c r="B42" s="90">
        <v>218</v>
      </c>
      <c r="C42" s="90" t="s">
        <v>1496</v>
      </c>
      <c r="D42" s="90">
        <v>18</v>
      </c>
      <c r="E42" s="90" t="s">
        <v>1496</v>
      </c>
      <c r="F42" s="90">
        <v>163</v>
      </c>
      <c r="G42" s="90" t="s">
        <v>1495</v>
      </c>
      <c r="H42" s="90">
        <v>4</v>
      </c>
      <c r="I42" s="90"/>
      <c r="J42" s="90"/>
      <c r="K42" s="90" t="s">
        <v>1517</v>
      </c>
      <c r="L42" s="90">
        <v>2</v>
      </c>
      <c r="M42" s="90" t="s">
        <v>1496</v>
      </c>
      <c r="N42" s="90">
        <v>5</v>
      </c>
      <c r="O42" s="90" t="s">
        <v>1496</v>
      </c>
      <c r="P42" s="90">
        <v>2</v>
      </c>
      <c r="Q42" s="90" t="s">
        <v>1495</v>
      </c>
      <c r="R42" s="90">
        <v>5</v>
      </c>
      <c r="S42" s="90" t="s">
        <v>1529</v>
      </c>
      <c r="T42" s="90">
        <v>3</v>
      </c>
      <c r="U42" s="90" t="s">
        <v>1538</v>
      </c>
      <c r="V42" s="90">
        <v>2</v>
      </c>
    </row>
    <row r="43" spans="1:22" ht="15">
      <c r="A43" s="87" t="s">
        <v>1497</v>
      </c>
      <c r="B43" s="90">
        <v>56</v>
      </c>
      <c r="C43" s="90" t="s">
        <v>274</v>
      </c>
      <c r="D43" s="90">
        <v>15</v>
      </c>
      <c r="E43" s="90" t="s">
        <v>1497</v>
      </c>
      <c r="F43" s="90">
        <v>56</v>
      </c>
      <c r="G43" s="90" t="s">
        <v>1496</v>
      </c>
      <c r="H43" s="90">
        <v>4</v>
      </c>
      <c r="I43" s="90"/>
      <c r="J43" s="90"/>
      <c r="K43" s="90"/>
      <c r="L43" s="90"/>
      <c r="M43" s="90" t="s">
        <v>1475</v>
      </c>
      <c r="N43" s="90">
        <v>5</v>
      </c>
      <c r="O43" s="90"/>
      <c r="P43" s="90"/>
      <c r="Q43" s="90" t="s">
        <v>1496</v>
      </c>
      <c r="R43" s="90">
        <v>5</v>
      </c>
      <c r="S43" s="90" t="s">
        <v>1530</v>
      </c>
      <c r="T43" s="90">
        <v>3</v>
      </c>
      <c r="U43" s="90" t="s">
        <v>1539</v>
      </c>
      <c r="V43" s="90">
        <v>2</v>
      </c>
    </row>
    <row r="44" spans="1:22" ht="15">
      <c r="A44" s="87" t="s">
        <v>1498</v>
      </c>
      <c r="B44" s="90">
        <v>52</v>
      </c>
      <c r="C44" s="90" t="s">
        <v>1505</v>
      </c>
      <c r="D44" s="90">
        <v>14</v>
      </c>
      <c r="E44" s="90" t="s">
        <v>1498</v>
      </c>
      <c r="F44" s="90">
        <v>52</v>
      </c>
      <c r="G44" s="90" t="s">
        <v>320</v>
      </c>
      <c r="H44" s="90">
        <v>3</v>
      </c>
      <c r="I44" s="90"/>
      <c r="J44" s="90"/>
      <c r="K44" s="90"/>
      <c r="L44" s="90"/>
      <c r="M44" s="90" t="s">
        <v>1519</v>
      </c>
      <c r="N44" s="90">
        <v>4</v>
      </c>
      <c r="O44" s="90"/>
      <c r="P44" s="90"/>
      <c r="Q44" s="90" t="s">
        <v>1505</v>
      </c>
      <c r="R44" s="90">
        <v>2</v>
      </c>
      <c r="S44" s="90" t="s">
        <v>1531</v>
      </c>
      <c r="T44" s="90">
        <v>3</v>
      </c>
      <c r="U44" s="90" t="s">
        <v>1540</v>
      </c>
      <c r="V44" s="90">
        <v>2</v>
      </c>
    </row>
    <row r="45" spans="1:22" ht="15">
      <c r="A45" s="87" t="s">
        <v>539</v>
      </c>
      <c r="B45" s="90">
        <v>49</v>
      </c>
      <c r="C45" s="90" t="s">
        <v>1506</v>
      </c>
      <c r="D45" s="90">
        <v>14</v>
      </c>
      <c r="E45" s="90" t="s">
        <v>1499</v>
      </c>
      <c r="F45" s="90">
        <v>48</v>
      </c>
      <c r="G45" s="90" t="s">
        <v>539</v>
      </c>
      <c r="H45" s="90">
        <v>3</v>
      </c>
      <c r="I45" s="90"/>
      <c r="J45" s="90"/>
      <c r="K45" s="90"/>
      <c r="L45" s="90"/>
      <c r="M45" s="90" t="s">
        <v>1520</v>
      </c>
      <c r="N45" s="90">
        <v>4</v>
      </c>
      <c r="O45" s="90"/>
      <c r="P45" s="90"/>
      <c r="Q45" s="90" t="s">
        <v>1527</v>
      </c>
      <c r="R45" s="90">
        <v>2</v>
      </c>
      <c r="S45" s="90" t="s">
        <v>1495</v>
      </c>
      <c r="T45" s="90">
        <v>3</v>
      </c>
      <c r="U45" s="90" t="s">
        <v>1541</v>
      </c>
      <c r="V45" s="90">
        <v>2</v>
      </c>
    </row>
    <row r="46" spans="1:22" ht="15">
      <c r="A46" s="87" t="s">
        <v>1499</v>
      </c>
      <c r="B46" s="90">
        <v>48</v>
      </c>
      <c r="C46" s="90" t="s">
        <v>273</v>
      </c>
      <c r="D46" s="90">
        <v>10</v>
      </c>
      <c r="E46" s="90" t="s">
        <v>1500</v>
      </c>
      <c r="F46" s="90">
        <v>43</v>
      </c>
      <c r="G46" s="90" t="s">
        <v>1513</v>
      </c>
      <c r="H46" s="90">
        <v>3</v>
      </c>
      <c r="I46" s="90"/>
      <c r="J46" s="90"/>
      <c r="K46" s="90"/>
      <c r="L46" s="90"/>
      <c r="M46" s="90" t="s">
        <v>1521</v>
      </c>
      <c r="N46" s="90">
        <v>4</v>
      </c>
      <c r="O46" s="90"/>
      <c r="P46" s="90"/>
      <c r="Q46" s="90"/>
      <c r="R46" s="90"/>
      <c r="S46" s="90" t="s">
        <v>1496</v>
      </c>
      <c r="T46" s="90">
        <v>3</v>
      </c>
      <c r="U46" s="90" t="s">
        <v>1542</v>
      </c>
      <c r="V46" s="90">
        <v>2</v>
      </c>
    </row>
    <row r="47" spans="1:22" ht="15">
      <c r="A47" s="87" t="s">
        <v>1500</v>
      </c>
      <c r="B47" s="90">
        <v>43</v>
      </c>
      <c r="C47" s="90" t="s">
        <v>1507</v>
      </c>
      <c r="D47" s="90">
        <v>10</v>
      </c>
      <c r="E47" s="90" t="s">
        <v>539</v>
      </c>
      <c r="F47" s="90">
        <v>40</v>
      </c>
      <c r="G47" s="90" t="s">
        <v>328</v>
      </c>
      <c r="H47" s="90">
        <v>2</v>
      </c>
      <c r="I47" s="90"/>
      <c r="J47" s="90"/>
      <c r="K47" s="90"/>
      <c r="L47" s="90"/>
      <c r="M47" s="90" t="s">
        <v>1522</v>
      </c>
      <c r="N47" s="90">
        <v>4</v>
      </c>
      <c r="O47" s="90"/>
      <c r="P47" s="90"/>
      <c r="Q47" s="90"/>
      <c r="R47" s="90"/>
      <c r="S47" s="90" t="s">
        <v>1532</v>
      </c>
      <c r="T47" s="90">
        <v>3</v>
      </c>
      <c r="U47" s="90" t="s">
        <v>1543</v>
      </c>
      <c r="V47" s="90">
        <v>2</v>
      </c>
    </row>
    <row r="48" spans="1:22" ht="15">
      <c r="A48" s="87" t="s">
        <v>1501</v>
      </c>
      <c r="B48" s="90">
        <v>40</v>
      </c>
      <c r="C48" s="90" t="s">
        <v>1508</v>
      </c>
      <c r="D48" s="90">
        <v>9</v>
      </c>
      <c r="E48" s="90" t="s">
        <v>1501</v>
      </c>
      <c r="F48" s="90">
        <v>40</v>
      </c>
      <c r="G48" s="90"/>
      <c r="H48" s="90"/>
      <c r="I48" s="90"/>
      <c r="J48" s="90"/>
      <c r="K48" s="90"/>
      <c r="L48" s="90"/>
      <c r="M48" s="90" t="s">
        <v>1523</v>
      </c>
      <c r="N48" s="90">
        <v>4</v>
      </c>
      <c r="O48" s="90"/>
      <c r="P48" s="90"/>
      <c r="Q48" s="90"/>
      <c r="R48" s="90"/>
      <c r="S48" s="90" t="s">
        <v>1533</v>
      </c>
      <c r="T48" s="90">
        <v>3</v>
      </c>
      <c r="U48" s="90" t="s">
        <v>1544</v>
      </c>
      <c r="V48" s="90">
        <v>2</v>
      </c>
    </row>
    <row r="49" spans="1:22" ht="15">
      <c r="A49" s="87" t="s">
        <v>1502</v>
      </c>
      <c r="B49" s="90">
        <v>37</v>
      </c>
      <c r="C49" s="90" t="s">
        <v>1509</v>
      </c>
      <c r="D49" s="90">
        <v>8</v>
      </c>
      <c r="E49" s="90" t="s">
        <v>1502</v>
      </c>
      <c r="F49" s="90">
        <v>37</v>
      </c>
      <c r="G49" s="90"/>
      <c r="H49" s="90"/>
      <c r="I49" s="90"/>
      <c r="J49" s="90"/>
      <c r="K49" s="90"/>
      <c r="L49" s="90"/>
      <c r="M49" s="90" t="s">
        <v>1524</v>
      </c>
      <c r="N49" s="90">
        <v>4</v>
      </c>
      <c r="O49" s="90"/>
      <c r="P49" s="90"/>
      <c r="Q49" s="90"/>
      <c r="R49" s="90"/>
      <c r="S49" s="90" t="s">
        <v>1534</v>
      </c>
      <c r="T49" s="90">
        <v>3</v>
      </c>
      <c r="U49" s="90" t="s">
        <v>1545</v>
      </c>
      <c r="V49" s="90">
        <v>2</v>
      </c>
    </row>
    <row r="50" spans="1:22" ht="15">
      <c r="A50" s="87" t="s">
        <v>1503</v>
      </c>
      <c r="B50" s="90">
        <v>37</v>
      </c>
      <c r="C50" s="90" t="s">
        <v>1510</v>
      </c>
      <c r="D50" s="90">
        <v>8</v>
      </c>
      <c r="E50" s="90" t="s">
        <v>1503</v>
      </c>
      <c r="F50" s="90">
        <v>37</v>
      </c>
      <c r="G50" s="90"/>
      <c r="H50" s="90"/>
      <c r="I50" s="90"/>
      <c r="J50" s="90"/>
      <c r="K50" s="90"/>
      <c r="L50" s="90"/>
      <c r="M50" s="90" t="s">
        <v>265</v>
      </c>
      <c r="N50" s="90">
        <v>4</v>
      </c>
      <c r="O50" s="90"/>
      <c r="P50" s="90"/>
      <c r="Q50" s="90"/>
      <c r="R50" s="90"/>
      <c r="S50" s="90" t="s">
        <v>1535</v>
      </c>
      <c r="T50" s="90">
        <v>3</v>
      </c>
      <c r="U50" s="90" t="s">
        <v>1495</v>
      </c>
      <c r="V50" s="90">
        <v>2</v>
      </c>
    </row>
    <row r="53" spans="1:22" ht="15" customHeight="1">
      <c r="A53" s="13" t="s">
        <v>1562</v>
      </c>
      <c r="B53" s="13" t="s">
        <v>1424</v>
      </c>
      <c r="C53" s="13" t="s">
        <v>1573</v>
      </c>
      <c r="D53" s="13" t="s">
        <v>1427</v>
      </c>
      <c r="E53" s="13" t="s">
        <v>1583</v>
      </c>
      <c r="F53" s="13" t="s">
        <v>1429</v>
      </c>
      <c r="G53" s="13" t="s">
        <v>1584</v>
      </c>
      <c r="H53" s="13" t="s">
        <v>1431</v>
      </c>
      <c r="I53" s="81" t="s">
        <v>1586</v>
      </c>
      <c r="J53" s="81" t="s">
        <v>1433</v>
      </c>
      <c r="K53" s="81" t="s">
        <v>1587</v>
      </c>
      <c r="L53" s="81" t="s">
        <v>1435</v>
      </c>
      <c r="M53" s="13" t="s">
        <v>1588</v>
      </c>
      <c r="N53" s="13" t="s">
        <v>1438</v>
      </c>
      <c r="O53" s="13" t="s">
        <v>1597</v>
      </c>
      <c r="P53" s="13" t="s">
        <v>1442</v>
      </c>
      <c r="Q53" s="13" t="s">
        <v>1598</v>
      </c>
      <c r="R53" s="13" t="s">
        <v>1444</v>
      </c>
      <c r="S53" s="13" t="s">
        <v>1600</v>
      </c>
      <c r="T53" s="13" t="s">
        <v>1446</v>
      </c>
      <c r="U53" s="13" t="s">
        <v>1610</v>
      </c>
      <c r="V53" s="13" t="s">
        <v>1447</v>
      </c>
    </row>
    <row r="54" spans="1:22" ht="15">
      <c r="A54" s="90" t="s">
        <v>1563</v>
      </c>
      <c r="B54" s="90">
        <v>216</v>
      </c>
      <c r="C54" s="90" t="s">
        <v>1563</v>
      </c>
      <c r="D54" s="90">
        <v>18</v>
      </c>
      <c r="E54" s="90" t="s">
        <v>1563</v>
      </c>
      <c r="F54" s="90">
        <v>163</v>
      </c>
      <c r="G54" s="90" t="s">
        <v>1563</v>
      </c>
      <c r="H54" s="90">
        <v>4</v>
      </c>
      <c r="I54" s="90"/>
      <c r="J54" s="90"/>
      <c r="K54" s="90"/>
      <c r="L54" s="90"/>
      <c r="M54" s="90" t="s">
        <v>1563</v>
      </c>
      <c r="N54" s="90">
        <v>5</v>
      </c>
      <c r="O54" s="90" t="s">
        <v>1563</v>
      </c>
      <c r="P54" s="90">
        <v>2</v>
      </c>
      <c r="Q54" s="90" t="s">
        <v>1563</v>
      </c>
      <c r="R54" s="90">
        <v>5</v>
      </c>
      <c r="S54" s="90" t="s">
        <v>1601</v>
      </c>
      <c r="T54" s="90">
        <v>3</v>
      </c>
      <c r="U54" s="90" t="s">
        <v>1611</v>
      </c>
      <c r="V54" s="90">
        <v>2</v>
      </c>
    </row>
    <row r="55" spans="1:22" ht="15">
      <c r="A55" s="87" t="s">
        <v>1564</v>
      </c>
      <c r="B55" s="90">
        <v>37</v>
      </c>
      <c r="C55" s="90" t="s">
        <v>1574</v>
      </c>
      <c r="D55" s="90">
        <v>8</v>
      </c>
      <c r="E55" s="90" t="s">
        <v>1564</v>
      </c>
      <c r="F55" s="90">
        <v>37</v>
      </c>
      <c r="G55" s="90" t="s">
        <v>1585</v>
      </c>
      <c r="H55" s="90">
        <v>2</v>
      </c>
      <c r="I55" s="90"/>
      <c r="J55" s="90"/>
      <c r="K55" s="90"/>
      <c r="L55" s="90"/>
      <c r="M55" s="90" t="s">
        <v>1589</v>
      </c>
      <c r="N55" s="90">
        <v>4</v>
      </c>
      <c r="O55" s="90"/>
      <c r="P55" s="90"/>
      <c r="Q55" s="90" t="s">
        <v>1599</v>
      </c>
      <c r="R55" s="90">
        <v>2</v>
      </c>
      <c r="S55" s="90" t="s">
        <v>1602</v>
      </c>
      <c r="T55" s="90">
        <v>3</v>
      </c>
      <c r="U55" s="90" t="s">
        <v>1612</v>
      </c>
      <c r="V55" s="90">
        <v>2</v>
      </c>
    </row>
    <row r="56" spans="1:22" ht="15">
      <c r="A56" s="87" t="s">
        <v>1565</v>
      </c>
      <c r="B56" s="90">
        <v>37</v>
      </c>
      <c r="C56" s="90" t="s">
        <v>1575</v>
      </c>
      <c r="D56" s="90">
        <v>8</v>
      </c>
      <c r="E56" s="90" t="s">
        <v>1565</v>
      </c>
      <c r="F56" s="90">
        <v>37</v>
      </c>
      <c r="G56" s="90"/>
      <c r="H56" s="90"/>
      <c r="I56" s="90"/>
      <c r="J56" s="90"/>
      <c r="K56" s="90"/>
      <c r="L56" s="90"/>
      <c r="M56" s="90" t="s">
        <v>1590</v>
      </c>
      <c r="N56" s="90">
        <v>4</v>
      </c>
      <c r="O56" s="90"/>
      <c r="P56" s="90"/>
      <c r="Q56" s="90"/>
      <c r="R56" s="90"/>
      <c r="S56" s="90" t="s">
        <v>1603</v>
      </c>
      <c r="T56" s="90">
        <v>3</v>
      </c>
      <c r="U56" s="90" t="s">
        <v>1613</v>
      </c>
      <c r="V56" s="90">
        <v>2</v>
      </c>
    </row>
    <row r="57" spans="1:22" ht="15">
      <c r="A57" s="87" t="s">
        <v>1566</v>
      </c>
      <c r="B57" s="90">
        <v>29</v>
      </c>
      <c r="C57" s="90" t="s">
        <v>1576</v>
      </c>
      <c r="D57" s="90">
        <v>7</v>
      </c>
      <c r="E57" s="90" t="s">
        <v>1566</v>
      </c>
      <c r="F57" s="90">
        <v>29</v>
      </c>
      <c r="G57" s="90"/>
      <c r="H57" s="90"/>
      <c r="I57" s="90"/>
      <c r="J57" s="90"/>
      <c r="K57" s="90"/>
      <c r="L57" s="90"/>
      <c r="M57" s="90" t="s">
        <v>1591</v>
      </c>
      <c r="N57" s="90">
        <v>4</v>
      </c>
      <c r="O57" s="90"/>
      <c r="P57" s="90"/>
      <c r="Q57" s="90"/>
      <c r="R57" s="90"/>
      <c r="S57" s="90" t="s">
        <v>1604</v>
      </c>
      <c r="T57" s="90">
        <v>3</v>
      </c>
      <c r="U57" s="90" t="s">
        <v>1614</v>
      </c>
      <c r="V57" s="90">
        <v>2</v>
      </c>
    </row>
    <row r="58" spans="1:22" ht="15">
      <c r="A58" s="87" t="s">
        <v>1567</v>
      </c>
      <c r="B58" s="90">
        <v>27</v>
      </c>
      <c r="C58" s="90" t="s">
        <v>1577</v>
      </c>
      <c r="D58" s="90">
        <v>7</v>
      </c>
      <c r="E58" s="90" t="s">
        <v>1567</v>
      </c>
      <c r="F58" s="90">
        <v>27</v>
      </c>
      <c r="G58" s="90"/>
      <c r="H58" s="90"/>
      <c r="I58" s="90"/>
      <c r="J58" s="90"/>
      <c r="K58" s="90"/>
      <c r="L58" s="90"/>
      <c r="M58" s="90" t="s">
        <v>1592</v>
      </c>
      <c r="N58" s="90">
        <v>4</v>
      </c>
      <c r="O58" s="90"/>
      <c r="P58" s="90"/>
      <c r="Q58" s="90"/>
      <c r="R58" s="90"/>
      <c r="S58" s="90" t="s">
        <v>1563</v>
      </c>
      <c r="T58" s="90">
        <v>3</v>
      </c>
      <c r="U58" s="90" t="s">
        <v>1615</v>
      </c>
      <c r="V58" s="90">
        <v>2</v>
      </c>
    </row>
    <row r="59" spans="1:22" ht="15">
      <c r="A59" s="87" t="s">
        <v>1568</v>
      </c>
      <c r="B59" s="90">
        <v>23</v>
      </c>
      <c r="C59" s="90" t="s">
        <v>1578</v>
      </c>
      <c r="D59" s="90">
        <v>7</v>
      </c>
      <c r="E59" s="90" t="s">
        <v>1568</v>
      </c>
      <c r="F59" s="90">
        <v>23</v>
      </c>
      <c r="G59" s="90"/>
      <c r="H59" s="90"/>
      <c r="I59" s="90"/>
      <c r="J59" s="90"/>
      <c r="K59" s="90"/>
      <c r="L59" s="90"/>
      <c r="M59" s="90" t="s">
        <v>1593</v>
      </c>
      <c r="N59" s="90">
        <v>4</v>
      </c>
      <c r="O59" s="90"/>
      <c r="P59" s="90"/>
      <c r="Q59" s="90"/>
      <c r="R59" s="90"/>
      <c r="S59" s="90" t="s">
        <v>1605</v>
      </c>
      <c r="T59" s="90">
        <v>3</v>
      </c>
      <c r="U59" s="90" t="s">
        <v>1616</v>
      </c>
      <c r="V59" s="90">
        <v>2</v>
      </c>
    </row>
    <row r="60" spans="1:22" ht="15">
      <c r="A60" s="87" t="s">
        <v>1569</v>
      </c>
      <c r="B60" s="90">
        <v>18</v>
      </c>
      <c r="C60" s="90" t="s">
        <v>1579</v>
      </c>
      <c r="D60" s="90">
        <v>7</v>
      </c>
      <c r="E60" s="90" t="s">
        <v>1569</v>
      </c>
      <c r="F60" s="90">
        <v>18</v>
      </c>
      <c r="G60" s="90"/>
      <c r="H60" s="90"/>
      <c r="I60" s="90"/>
      <c r="J60" s="90"/>
      <c r="K60" s="90"/>
      <c r="L60" s="90"/>
      <c r="M60" s="90" t="s">
        <v>1594</v>
      </c>
      <c r="N60" s="90">
        <v>4</v>
      </c>
      <c r="O60" s="90"/>
      <c r="P60" s="90"/>
      <c r="Q60" s="90"/>
      <c r="R60" s="90"/>
      <c r="S60" s="90" t="s">
        <v>1606</v>
      </c>
      <c r="T60" s="90">
        <v>3</v>
      </c>
      <c r="U60" s="90" t="s">
        <v>1617</v>
      </c>
      <c r="V60" s="90">
        <v>2</v>
      </c>
    </row>
    <row r="61" spans="1:22" ht="15">
      <c r="A61" s="87" t="s">
        <v>1570</v>
      </c>
      <c r="B61" s="90">
        <v>16</v>
      </c>
      <c r="C61" s="90" t="s">
        <v>1580</v>
      </c>
      <c r="D61" s="90">
        <v>7</v>
      </c>
      <c r="E61" s="90" t="s">
        <v>1570</v>
      </c>
      <c r="F61" s="90">
        <v>16</v>
      </c>
      <c r="G61" s="90"/>
      <c r="H61" s="90"/>
      <c r="I61" s="90"/>
      <c r="J61" s="90"/>
      <c r="K61" s="90"/>
      <c r="L61" s="90"/>
      <c r="M61" s="90" t="s">
        <v>1595</v>
      </c>
      <c r="N61" s="90">
        <v>4</v>
      </c>
      <c r="O61" s="90"/>
      <c r="P61" s="90"/>
      <c r="Q61" s="90"/>
      <c r="R61" s="90"/>
      <c r="S61" s="90" t="s">
        <v>1607</v>
      </c>
      <c r="T61" s="90">
        <v>3</v>
      </c>
      <c r="U61" s="90" t="s">
        <v>1618</v>
      </c>
      <c r="V61" s="90">
        <v>2</v>
      </c>
    </row>
    <row r="62" spans="1:22" ht="15">
      <c r="A62" s="87" t="s">
        <v>1571</v>
      </c>
      <c r="B62" s="90">
        <v>15</v>
      </c>
      <c r="C62" s="90" t="s">
        <v>1581</v>
      </c>
      <c r="D62" s="90">
        <v>7</v>
      </c>
      <c r="E62" s="90" t="s">
        <v>1571</v>
      </c>
      <c r="F62" s="90">
        <v>15</v>
      </c>
      <c r="G62" s="90"/>
      <c r="H62" s="90"/>
      <c r="I62" s="90"/>
      <c r="J62" s="90"/>
      <c r="K62" s="90"/>
      <c r="L62" s="90"/>
      <c r="M62" s="90" t="s">
        <v>1596</v>
      </c>
      <c r="N62" s="90">
        <v>4</v>
      </c>
      <c r="O62" s="90"/>
      <c r="P62" s="90"/>
      <c r="Q62" s="90"/>
      <c r="R62" s="90"/>
      <c r="S62" s="90" t="s">
        <v>1608</v>
      </c>
      <c r="T62" s="90">
        <v>3</v>
      </c>
      <c r="U62" s="90" t="s">
        <v>1619</v>
      </c>
      <c r="V62" s="90">
        <v>2</v>
      </c>
    </row>
    <row r="63" spans="1:22" ht="15">
      <c r="A63" s="87" t="s">
        <v>1572</v>
      </c>
      <c r="B63" s="90">
        <v>14</v>
      </c>
      <c r="C63" s="90" t="s">
        <v>1582</v>
      </c>
      <c r="D63" s="90">
        <v>7</v>
      </c>
      <c r="E63" s="90" t="s">
        <v>1572</v>
      </c>
      <c r="F63" s="90">
        <v>14</v>
      </c>
      <c r="G63" s="90"/>
      <c r="H63" s="90"/>
      <c r="I63" s="90"/>
      <c r="J63" s="90"/>
      <c r="K63" s="90"/>
      <c r="L63" s="90"/>
      <c r="M63" s="90"/>
      <c r="N63" s="90"/>
      <c r="O63" s="90"/>
      <c r="P63" s="90"/>
      <c r="Q63" s="90"/>
      <c r="R63" s="90"/>
      <c r="S63" s="90" t="s">
        <v>1609</v>
      </c>
      <c r="T63" s="90">
        <v>3</v>
      </c>
      <c r="U63" s="90" t="s">
        <v>1563</v>
      </c>
      <c r="V63" s="90">
        <v>2</v>
      </c>
    </row>
    <row r="66" spans="1:22" ht="15" customHeight="1">
      <c r="A66" s="13" t="s">
        <v>1632</v>
      </c>
      <c r="B66" s="13" t="s">
        <v>1424</v>
      </c>
      <c r="C66" s="13" t="s">
        <v>1634</v>
      </c>
      <c r="D66" s="13" t="s">
        <v>1427</v>
      </c>
      <c r="E66" s="81" t="s">
        <v>1635</v>
      </c>
      <c r="F66" s="81" t="s">
        <v>1429</v>
      </c>
      <c r="G66" s="13" t="s">
        <v>1638</v>
      </c>
      <c r="H66" s="13" t="s">
        <v>1431</v>
      </c>
      <c r="I66" s="13" t="s">
        <v>1640</v>
      </c>
      <c r="J66" s="13" t="s">
        <v>1433</v>
      </c>
      <c r="K66" s="13" t="s">
        <v>1642</v>
      </c>
      <c r="L66" s="13" t="s">
        <v>1435</v>
      </c>
      <c r="M66" s="13" t="s">
        <v>1644</v>
      </c>
      <c r="N66" s="13" t="s">
        <v>1438</v>
      </c>
      <c r="O66" s="13" t="s">
        <v>1646</v>
      </c>
      <c r="P66" s="13" t="s">
        <v>1442</v>
      </c>
      <c r="Q66" s="13" t="s">
        <v>1648</v>
      </c>
      <c r="R66" s="13" t="s">
        <v>1444</v>
      </c>
      <c r="S66" s="81" t="s">
        <v>1650</v>
      </c>
      <c r="T66" s="81" t="s">
        <v>1446</v>
      </c>
      <c r="U66" s="81" t="s">
        <v>1652</v>
      </c>
      <c r="V66" s="81" t="s">
        <v>1447</v>
      </c>
    </row>
    <row r="67" spans="1:22" ht="15">
      <c r="A67" s="81" t="s">
        <v>310</v>
      </c>
      <c r="B67" s="81">
        <v>5</v>
      </c>
      <c r="C67" s="81" t="s">
        <v>308</v>
      </c>
      <c r="D67" s="81">
        <v>2</v>
      </c>
      <c r="E67" s="81"/>
      <c r="F67" s="81"/>
      <c r="G67" s="81" t="s">
        <v>321</v>
      </c>
      <c r="H67" s="81">
        <v>3</v>
      </c>
      <c r="I67" s="81" t="s">
        <v>325</v>
      </c>
      <c r="J67" s="81">
        <v>1</v>
      </c>
      <c r="K67" s="81" t="s">
        <v>315</v>
      </c>
      <c r="L67" s="81">
        <v>1</v>
      </c>
      <c r="M67" s="81" t="s">
        <v>267</v>
      </c>
      <c r="N67" s="81">
        <v>1</v>
      </c>
      <c r="O67" s="81" t="s">
        <v>317</v>
      </c>
      <c r="P67" s="81">
        <v>1</v>
      </c>
      <c r="Q67" s="81" t="s">
        <v>310</v>
      </c>
      <c r="R67" s="81">
        <v>5</v>
      </c>
      <c r="S67" s="81"/>
      <c r="T67" s="81"/>
      <c r="U67" s="81"/>
      <c r="V67" s="81"/>
    </row>
    <row r="68" spans="1:22" ht="15">
      <c r="A68" s="82" t="s">
        <v>321</v>
      </c>
      <c r="B68" s="81">
        <v>3</v>
      </c>
      <c r="C68" s="81" t="s">
        <v>272</v>
      </c>
      <c r="D68" s="81">
        <v>1</v>
      </c>
      <c r="E68" s="81"/>
      <c r="F68" s="81"/>
      <c r="G68" s="81" t="s">
        <v>320</v>
      </c>
      <c r="H68" s="81">
        <v>1</v>
      </c>
      <c r="I68" s="81"/>
      <c r="J68" s="81"/>
      <c r="K68" s="81"/>
      <c r="L68" s="81"/>
      <c r="M68" s="81"/>
      <c r="N68" s="81"/>
      <c r="O68" s="81" t="s">
        <v>288</v>
      </c>
      <c r="P68" s="81">
        <v>1</v>
      </c>
      <c r="Q68" s="81"/>
      <c r="R68" s="81"/>
      <c r="S68" s="81"/>
      <c r="T68" s="81"/>
      <c r="U68" s="81"/>
      <c r="V68" s="81"/>
    </row>
    <row r="69" spans="1:22" ht="15">
      <c r="A69" s="82" t="s">
        <v>308</v>
      </c>
      <c r="B69" s="81">
        <v>2</v>
      </c>
      <c r="C69" s="81"/>
      <c r="D69" s="81"/>
      <c r="E69" s="81"/>
      <c r="F69" s="81"/>
      <c r="G69" s="81"/>
      <c r="H69" s="81"/>
      <c r="I69" s="81"/>
      <c r="J69" s="81"/>
      <c r="K69" s="81"/>
      <c r="L69" s="81"/>
      <c r="M69" s="81"/>
      <c r="N69" s="81"/>
      <c r="O69" s="81"/>
      <c r="P69" s="81"/>
      <c r="Q69" s="81"/>
      <c r="R69" s="81"/>
      <c r="S69" s="81"/>
      <c r="T69" s="81"/>
      <c r="U69" s="81"/>
      <c r="V69" s="81"/>
    </row>
    <row r="70" spans="1:22" ht="15">
      <c r="A70" s="82" t="s">
        <v>320</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327</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326</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325</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319</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317</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288</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1633</v>
      </c>
      <c r="B79" s="13" t="s">
        <v>1424</v>
      </c>
      <c r="C79" s="13" t="s">
        <v>1636</v>
      </c>
      <c r="D79" s="13" t="s">
        <v>1427</v>
      </c>
      <c r="E79" s="81" t="s">
        <v>1637</v>
      </c>
      <c r="F79" s="81" t="s">
        <v>1429</v>
      </c>
      <c r="G79" s="13" t="s">
        <v>1639</v>
      </c>
      <c r="H79" s="13" t="s">
        <v>1431</v>
      </c>
      <c r="I79" s="13" t="s">
        <v>1641</v>
      </c>
      <c r="J79" s="13" t="s">
        <v>1433</v>
      </c>
      <c r="K79" s="13" t="s">
        <v>1643</v>
      </c>
      <c r="L79" s="13" t="s">
        <v>1435</v>
      </c>
      <c r="M79" s="13" t="s">
        <v>1645</v>
      </c>
      <c r="N79" s="13" t="s">
        <v>1438</v>
      </c>
      <c r="O79" s="13" t="s">
        <v>1647</v>
      </c>
      <c r="P79" s="13" t="s">
        <v>1442</v>
      </c>
      <c r="Q79" s="13" t="s">
        <v>1649</v>
      </c>
      <c r="R79" s="13" t="s">
        <v>1444</v>
      </c>
      <c r="S79" s="81" t="s">
        <v>1651</v>
      </c>
      <c r="T79" s="81" t="s">
        <v>1446</v>
      </c>
      <c r="U79" s="13" t="s">
        <v>1653</v>
      </c>
      <c r="V79" s="13" t="s">
        <v>1447</v>
      </c>
    </row>
    <row r="80" spans="1:22" ht="15">
      <c r="A80" s="81" t="s">
        <v>274</v>
      </c>
      <c r="B80" s="81">
        <v>15</v>
      </c>
      <c r="C80" s="81" t="s">
        <v>274</v>
      </c>
      <c r="D80" s="81">
        <v>15</v>
      </c>
      <c r="E80" s="81"/>
      <c r="F80" s="81"/>
      <c r="G80" s="81" t="s">
        <v>320</v>
      </c>
      <c r="H80" s="81">
        <v>2</v>
      </c>
      <c r="I80" s="81" t="s">
        <v>324</v>
      </c>
      <c r="J80" s="81">
        <v>1</v>
      </c>
      <c r="K80" s="81" t="s">
        <v>314</v>
      </c>
      <c r="L80" s="81">
        <v>1</v>
      </c>
      <c r="M80" s="81" t="s">
        <v>265</v>
      </c>
      <c r="N80" s="81">
        <v>4</v>
      </c>
      <c r="O80" s="81" t="s">
        <v>316</v>
      </c>
      <c r="P80" s="81">
        <v>1</v>
      </c>
      <c r="Q80" s="81" t="s">
        <v>311</v>
      </c>
      <c r="R80" s="81">
        <v>1</v>
      </c>
      <c r="S80" s="81"/>
      <c r="T80" s="81"/>
      <c r="U80" s="81" t="s">
        <v>307</v>
      </c>
      <c r="V80" s="81">
        <v>2</v>
      </c>
    </row>
    <row r="81" spans="1:22" ht="15">
      <c r="A81" s="82" t="s">
        <v>273</v>
      </c>
      <c r="B81" s="81">
        <v>11</v>
      </c>
      <c r="C81" s="81" t="s">
        <v>273</v>
      </c>
      <c r="D81" s="81">
        <v>11</v>
      </c>
      <c r="E81" s="81"/>
      <c r="F81" s="81"/>
      <c r="G81" s="81" t="s">
        <v>328</v>
      </c>
      <c r="H81" s="81">
        <v>2</v>
      </c>
      <c r="I81" s="81" t="s">
        <v>323</v>
      </c>
      <c r="J81" s="81">
        <v>1</v>
      </c>
      <c r="K81" s="81" t="s">
        <v>313</v>
      </c>
      <c r="L81" s="81">
        <v>1</v>
      </c>
      <c r="M81" s="81"/>
      <c r="N81" s="81"/>
      <c r="O81" s="81"/>
      <c r="P81" s="81"/>
      <c r="Q81" s="81"/>
      <c r="R81" s="81"/>
      <c r="S81" s="81"/>
      <c r="T81" s="81"/>
      <c r="U81" s="81"/>
      <c r="V81" s="81"/>
    </row>
    <row r="82" spans="1:22" ht="15">
      <c r="A82" s="82" t="s">
        <v>275</v>
      </c>
      <c r="B82" s="81">
        <v>7</v>
      </c>
      <c r="C82" s="81" t="s">
        <v>275</v>
      </c>
      <c r="D82" s="81">
        <v>7</v>
      </c>
      <c r="E82" s="81"/>
      <c r="F82" s="81"/>
      <c r="G82" s="81" t="s">
        <v>321</v>
      </c>
      <c r="H82" s="81">
        <v>1</v>
      </c>
      <c r="I82" s="81" t="s">
        <v>322</v>
      </c>
      <c r="J82" s="81">
        <v>1</v>
      </c>
      <c r="K82" s="81" t="s">
        <v>312</v>
      </c>
      <c r="L82" s="81">
        <v>1</v>
      </c>
      <c r="M82" s="81"/>
      <c r="N82" s="81"/>
      <c r="O82" s="81"/>
      <c r="P82" s="81"/>
      <c r="Q82" s="81"/>
      <c r="R82" s="81"/>
      <c r="S82" s="81"/>
      <c r="T82" s="81"/>
      <c r="U82" s="81"/>
      <c r="V82" s="81"/>
    </row>
    <row r="83" spans="1:22" ht="15">
      <c r="A83" s="82" t="s">
        <v>265</v>
      </c>
      <c r="B83" s="81">
        <v>4</v>
      </c>
      <c r="C83" s="81" t="s">
        <v>271</v>
      </c>
      <c r="D83" s="81">
        <v>2</v>
      </c>
      <c r="E83" s="81"/>
      <c r="F83" s="81"/>
      <c r="G83" s="81"/>
      <c r="H83" s="81"/>
      <c r="I83" s="81"/>
      <c r="J83" s="81"/>
      <c r="K83" s="81"/>
      <c r="L83" s="81"/>
      <c r="M83" s="81"/>
      <c r="N83" s="81"/>
      <c r="O83" s="81"/>
      <c r="P83" s="81"/>
      <c r="Q83" s="81"/>
      <c r="R83" s="81"/>
      <c r="S83" s="81"/>
      <c r="T83" s="81"/>
      <c r="U83" s="81"/>
      <c r="V83" s="81"/>
    </row>
    <row r="84" spans="1:22" ht="15">
      <c r="A84" s="82" t="s">
        <v>320</v>
      </c>
      <c r="B84" s="81">
        <v>2</v>
      </c>
      <c r="C84" s="81" t="s">
        <v>308</v>
      </c>
      <c r="D84" s="81">
        <v>1</v>
      </c>
      <c r="E84" s="81"/>
      <c r="F84" s="81"/>
      <c r="G84" s="81"/>
      <c r="H84" s="81"/>
      <c r="I84" s="81"/>
      <c r="J84" s="81"/>
      <c r="K84" s="81"/>
      <c r="L84" s="81"/>
      <c r="M84" s="81"/>
      <c r="N84" s="81"/>
      <c r="O84" s="81"/>
      <c r="P84" s="81"/>
      <c r="Q84" s="81"/>
      <c r="R84" s="81"/>
      <c r="S84" s="81"/>
      <c r="T84" s="81"/>
      <c r="U84" s="81"/>
      <c r="V84" s="81"/>
    </row>
    <row r="85" spans="1:22" ht="15">
      <c r="A85" s="82" t="s">
        <v>328</v>
      </c>
      <c r="B85" s="81">
        <v>2</v>
      </c>
      <c r="C85" s="81"/>
      <c r="D85" s="81"/>
      <c r="E85" s="81"/>
      <c r="F85" s="81"/>
      <c r="G85" s="81"/>
      <c r="H85" s="81"/>
      <c r="I85" s="81"/>
      <c r="J85" s="81"/>
      <c r="K85" s="81"/>
      <c r="L85" s="81"/>
      <c r="M85" s="81"/>
      <c r="N85" s="81"/>
      <c r="O85" s="81"/>
      <c r="P85" s="81"/>
      <c r="Q85" s="81"/>
      <c r="R85" s="81"/>
      <c r="S85" s="81"/>
      <c r="T85" s="81"/>
      <c r="U85" s="81"/>
      <c r="V85" s="81"/>
    </row>
    <row r="86" spans="1:22" ht="15">
      <c r="A86" s="82" t="s">
        <v>271</v>
      </c>
      <c r="B86" s="81">
        <v>2</v>
      </c>
      <c r="C86" s="81"/>
      <c r="D86" s="81"/>
      <c r="E86" s="81"/>
      <c r="F86" s="81"/>
      <c r="G86" s="81"/>
      <c r="H86" s="81"/>
      <c r="I86" s="81"/>
      <c r="J86" s="81"/>
      <c r="K86" s="81"/>
      <c r="L86" s="81"/>
      <c r="M86" s="81"/>
      <c r="N86" s="81"/>
      <c r="O86" s="81"/>
      <c r="P86" s="81"/>
      <c r="Q86" s="81"/>
      <c r="R86" s="81"/>
      <c r="S86" s="81"/>
      <c r="T86" s="81"/>
      <c r="U86" s="81"/>
      <c r="V86" s="81"/>
    </row>
    <row r="87" spans="1:22" ht="15">
      <c r="A87" s="82" t="s">
        <v>307</v>
      </c>
      <c r="B87" s="81">
        <v>2</v>
      </c>
      <c r="C87" s="81"/>
      <c r="D87" s="81"/>
      <c r="E87" s="81"/>
      <c r="F87" s="81"/>
      <c r="G87" s="81"/>
      <c r="H87" s="81"/>
      <c r="I87" s="81"/>
      <c r="J87" s="81"/>
      <c r="K87" s="81"/>
      <c r="L87" s="81"/>
      <c r="M87" s="81"/>
      <c r="N87" s="81"/>
      <c r="O87" s="81"/>
      <c r="P87" s="81"/>
      <c r="Q87" s="81"/>
      <c r="R87" s="81"/>
      <c r="S87" s="81"/>
      <c r="T87" s="81"/>
      <c r="U87" s="81"/>
      <c r="V87" s="81"/>
    </row>
    <row r="88" spans="1:22" ht="15">
      <c r="A88" s="82" t="s">
        <v>321</v>
      </c>
      <c r="B88" s="81">
        <v>1</v>
      </c>
      <c r="C88" s="81"/>
      <c r="D88" s="81"/>
      <c r="E88" s="81"/>
      <c r="F88" s="81"/>
      <c r="G88" s="81"/>
      <c r="H88" s="81"/>
      <c r="I88" s="81"/>
      <c r="J88" s="81"/>
      <c r="K88" s="81"/>
      <c r="L88" s="81"/>
      <c r="M88" s="81"/>
      <c r="N88" s="81"/>
      <c r="O88" s="81"/>
      <c r="P88" s="81"/>
      <c r="Q88" s="81"/>
      <c r="R88" s="81"/>
      <c r="S88" s="81"/>
      <c r="T88" s="81"/>
      <c r="U88" s="81"/>
      <c r="V88" s="81"/>
    </row>
    <row r="89" spans="1:22" ht="15">
      <c r="A89" s="82" t="s">
        <v>324</v>
      </c>
      <c r="B89" s="81">
        <v>1</v>
      </c>
      <c r="C89" s="81"/>
      <c r="D89" s="81"/>
      <c r="E89" s="81"/>
      <c r="F89" s="81"/>
      <c r="G89" s="81"/>
      <c r="H89" s="81"/>
      <c r="I89" s="81"/>
      <c r="J89" s="81"/>
      <c r="K89" s="81"/>
      <c r="L89" s="81"/>
      <c r="M89" s="81"/>
      <c r="N89" s="81"/>
      <c r="O89" s="81"/>
      <c r="P89" s="81"/>
      <c r="Q89" s="81"/>
      <c r="R89" s="81"/>
      <c r="S89" s="81"/>
      <c r="T89" s="81"/>
      <c r="U89" s="81"/>
      <c r="V89" s="81"/>
    </row>
    <row r="92" spans="1:22" ht="15" customHeight="1">
      <c r="A92" s="13" t="s">
        <v>1663</v>
      </c>
      <c r="B92" s="13" t="s">
        <v>1424</v>
      </c>
      <c r="C92" s="13" t="s">
        <v>1664</v>
      </c>
      <c r="D92" s="13" t="s">
        <v>1427</v>
      </c>
      <c r="E92" s="13" t="s">
        <v>1665</v>
      </c>
      <c r="F92" s="13" t="s">
        <v>1429</v>
      </c>
      <c r="G92" s="13" t="s">
        <v>1666</v>
      </c>
      <c r="H92" s="13" t="s">
        <v>1431</v>
      </c>
      <c r="I92" s="13" t="s">
        <v>1667</v>
      </c>
      <c r="J92" s="13" t="s">
        <v>1433</v>
      </c>
      <c r="K92" s="13" t="s">
        <v>1668</v>
      </c>
      <c r="L92" s="13" t="s">
        <v>1435</v>
      </c>
      <c r="M92" s="13" t="s">
        <v>1669</v>
      </c>
      <c r="N92" s="13" t="s">
        <v>1438</v>
      </c>
      <c r="O92" s="13" t="s">
        <v>1670</v>
      </c>
      <c r="P92" s="13" t="s">
        <v>1442</v>
      </c>
      <c r="Q92" s="13" t="s">
        <v>1671</v>
      </c>
      <c r="R92" s="13" t="s">
        <v>1444</v>
      </c>
      <c r="S92" s="13" t="s">
        <v>1672</v>
      </c>
      <c r="T92" s="13" t="s">
        <v>1446</v>
      </c>
      <c r="U92" s="13" t="s">
        <v>1673</v>
      </c>
      <c r="V92" s="13" t="s">
        <v>1447</v>
      </c>
    </row>
    <row r="93" spans="1:22" ht="15">
      <c r="A93" s="107" t="s">
        <v>305</v>
      </c>
      <c r="B93" s="81">
        <v>561489</v>
      </c>
      <c r="C93" s="107" t="s">
        <v>258</v>
      </c>
      <c r="D93" s="81">
        <v>166686</v>
      </c>
      <c r="E93" s="107" t="s">
        <v>305</v>
      </c>
      <c r="F93" s="81">
        <v>561489</v>
      </c>
      <c r="G93" s="107" t="s">
        <v>321</v>
      </c>
      <c r="H93" s="81">
        <v>38589</v>
      </c>
      <c r="I93" s="107" t="s">
        <v>323</v>
      </c>
      <c r="J93" s="81">
        <v>20920</v>
      </c>
      <c r="K93" s="107" t="s">
        <v>315</v>
      </c>
      <c r="L93" s="81">
        <v>38953</v>
      </c>
      <c r="M93" s="107" t="s">
        <v>249</v>
      </c>
      <c r="N93" s="81">
        <v>23527</v>
      </c>
      <c r="O93" s="107" t="s">
        <v>316</v>
      </c>
      <c r="P93" s="81">
        <v>44790</v>
      </c>
      <c r="Q93" s="107" t="s">
        <v>281</v>
      </c>
      <c r="R93" s="81">
        <v>44100</v>
      </c>
      <c r="S93" s="107" t="s">
        <v>299</v>
      </c>
      <c r="T93" s="81">
        <v>48337</v>
      </c>
      <c r="U93" s="107" t="s">
        <v>270</v>
      </c>
      <c r="V93" s="81">
        <v>39864</v>
      </c>
    </row>
    <row r="94" spans="1:22" ht="15">
      <c r="A94" s="110" t="s">
        <v>278</v>
      </c>
      <c r="B94" s="81">
        <v>397457</v>
      </c>
      <c r="C94" s="107" t="s">
        <v>274</v>
      </c>
      <c r="D94" s="81">
        <v>69097</v>
      </c>
      <c r="E94" s="107" t="s">
        <v>278</v>
      </c>
      <c r="F94" s="81">
        <v>397457</v>
      </c>
      <c r="G94" s="107" t="s">
        <v>302</v>
      </c>
      <c r="H94" s="81">
        <v>31826</v>
      </c>
      <c r="I94" s="107" t="s">
        <v>325</v>
      </c>
      <c r="J94" s="81">
        <v>9906</v>
      </c>
      <c r="K94" s="107" t="s">
        <v>313</v>
      </c>
      <c r="L94" s="81">
        <v>19494</v>
      </c>
      <c r="M94" s="107" t="s">
        <v>266</v>
      </c>
      <c r="N94" s="81">
        <v>21501</v>
      </c>
      <c r="O94" s="107" t="s">
        <v>317</v>
      </c>
      <c r="P94" s="81">
        <v>43690</v>
      </c>
      <c r="Q94" s="107" t="s">
        <v>280</v>
      </c>
      <c r="R94" s="81">
        <v>23057</v>
      </c>
      <c r="S94" s="107" t="s">
        <v>294</v>
      </c>
      <c r="T94" s="81">
        <v>10841</v>
      </c>
      <c r="U94" s="107" t="s">
        <v>269</v>
      </c>
      <c r="V94" s="81">
        <v>30009</v>
      </c>
    </row>
    <row r="95" spans="1:22" ht="15">
      <c r="A95" s="110" t="s">
        <v>303</v>
      </c>
      <c r="B95" s="81">
        <v>199308</v>
      </c>
      <c r="C95" s="107" t="s">
        <v>253</v>
      </c>
      <c r="D95" s="81">
        <v>68311</v>
      </c>
      <c r="E95" s="107" t="s">
        <v>293</v>
      </c>
      <c r="F95" s="81">
        <v>90721</v>
      </c>
      <c r="G95" s="107" t="s">
        <v>297</v>
      </c>
      <c r="H95" s="81">
        <v>19746</v>
      </c>
      <c r="I95" s="107" t="s">
        <v>322</v>
      </c>
      <c r="J95" s="81">
        <v>7847</v>
      </c>
      <c r="K95" s="107" t="s">
        <v>314</v>
      </c>
      <c r="L95" s="81">
        <v>5285</v>
      </c>
      <c r="M95" s="107" t="s">
        <v>265</v>
      </c>
      <c r="N95" s="81">
        <v>17488</v>
      </c>
      <c r="O95" s="107" t="s">
        <v>287</v>
      </c>
      <c r="P95" s="81">
        <v>15634</v>
      </c>
      <c r="Q95" s="107" t="s">
        <v>310</v>
      </c>
      <c r="R95" s="81">
        <v>20941</v>
      </c>
      <c r="S95" s="107" t="s">
        <v>300</v>
      </c>
      <c r="T95" s="81">
        <v>3197</v>
      </c>
      <c r="U95" s="107" t="s">
        <v>307</v>
      </c>
      <c r="V95" s="81">
        <v>9534</v>
      </c>
    </row>
    <row r="96" spans="1:22" ht="15">
      <c r="A96" s="110" t="s">
        <v>258</v>
      </c>
      <c r="B96" s="81">
        <v>166686</v>
      </c>
      <c r="C96" s="107" t="s">
        <v>257</v>
      </c>
      <c r="D96" s="81">
        <v>43499</v>
      </c>
      <c r="E96" s="107" t="s">
        <v>289</v>
      </c>
      <c r="F96" s="81">
        <v>85290</v>
      </c>
      <c r="G96" s="107" t="s">
        <v>320</v>
      </c>
      <c r="H96" s="81">
        <v>16731</v>
      </c>
      <c r="I96" s="107" t="s">
        <v>324</v>
      </c>
      <c r="J96" s="81">
        <v>6787</v>
      </c>
      <c r="K96" s="107" t="s">
        <v>285</v>
      </c>
      <c r="L96" s="81">
        <v>1954</v>
      </c>
      <c r="M96" s="107" t="s">
        <v>250</v>
      </c>
      <c r="N96" s="81">
        <v>12722</v>
      </c>
      <c r="O96" s="107" t="s">
        <v>288</v>
      </c>
      <c r="P96" s="81">
        <v>12448</v>
      </c>
      <c r="Q96" s="107" t="s">
        <v>311</v>
      </c>
      <c r="R96" s="81">
        <v>7641</v>
      </c>
      <c r="S96" s="107"/>
      <c r="T96" s="81"/>
      <c r="U96" s="107"/>
      <c r="V96" s="81"/>
    </row>
    <row r="97" spans="1:22" ht="15">
      <c r="A97" s="110" t="s">
        <v>261</v>
      </c>
      <c r="B97" s="81">
        <v>159608</v>
      </c>
      <c r="C97" s="107" t="s">
        <v>254</v>
      </c>
      <c r="D97" s="81">
        <v>25776</v>
      </c>
      <c r="E97" s="107" t="s">
        <v>306</v>
      </c>
      <c r="F97" s="81">
        <v>69015</v>
      </c>
      <c r="G97" s="107" t="s">
        <v>295</v>
      </c>
      <c r="H97" s="81">
        <v>11932</v>
      </c>
      <c r="I97" s="107" t="s">
        <v>296</v>
      </c>
      <c r="J97" s="81">
        <v>1151</v>
      </c>
      <c r="K97" s="107" t="s">
        <v>312</v>
      </c>
      <c r="L97" s="81">
        <v>121</v>
      </c>
      <c r="M97" s="107" t="s">
        <v>267</v>
      </c>
      <c r="N97" s="81">
        <v>12444</v>
      </c>
      <c r="O97" s="107"/>
      <c r="P97" s="81"/>
      <c r="Q97" s="107"/>
      <c r="R97" s="81"/>
      <c r="S97" s="107"/>
      <c r="T97" s="81"/>
      <c r="U97" s="107"/>
      <c r="V97" s="81"/>
    </row>
    <row r="98" spans="1:22" ht="15">
      <c r="A98" s="110" t="s">
        <v>293</v>
      </c>
      <c r="B98" s="81">
        <v>90721</v>
      </c>
      <c r="C98" s="107" t="s">
        <v>271</v>
      </c>
      <c r="D98" s="81">
        <v>18940</v>
      </c>
      <c r="E98" s="107" t="s">
        <v>286</v>
      </c>
      <c r="F98" s="81">
        <v>18806</v>
      </c>
      <c r="G98" s="107" t="s">
        <v>328</v>
      </c>
      <c r="H98" s="81">
        <v>6986</v>
      </c>
      <c r="I98" s="107"/>
      <c r="J98" s="81"/>
      <c r="K98" s="107"/>
      <c r="L98" s="81"/>
      <c r="M98" s="107"/>
      <c r="N98" s="81"/>
      <c r="O98" s="107"/>
      <c r="P98" s="81"/>
      <c r="Q98" s="107"/>
      <c r="R98" s="81"/>
      <c r="S98" s="107"/>
      <c r="T98" s="81"/>
      <c r="U98" s="107"/>
      <c r="V98" s="81"/>
    </row>
    <row r="99" spans="1:22" ht="15">
      <c r="A99" s="110" t="s">
        <v>289</v>
      </c>
      <c r="B99" s="81">
        <v>85290</v>
      </c>
      <c r="C99" s="107" t="s">
        <v>273</v>
      </c>
      <c r="D99" s="81">
        <v>16451</v>
      </c>
      <c r="E99" s="107" t="s">
        <v>282</v>
      </c>
      <c r="F99" s="81">
        <v>6609</v>
      </c>
      <c r="G99" s="107"/>
      <c r="H99" s="81"/>
      <c r="I99" s="107"/>
      <c r="J99" s="81"/>
      <c r="K99" s="107"/>
      <c r="L99" s="81"/>
      <c r="M99" s="107"/>
      <c r="N99" s="81"/>
      <c r="O99" s="107"/>
      <c r="P99" s="81"/>
      <c r="Q99" s="107"/>
      <c r="R99" s="81"/>
      <c r="S99" s="107"/>
      <c r="T99" s="81"/>
      <c r="U99" s="107"/>
      <c r="V99" s="81"/>
    </row>
    <row r="100" spans="1:22" ht="15">
      <c r="A100" s="110" t="s">
        <v>274</v>
      </c>
      <c r="B100" s="81">
        <v>69097</v>
      </c>
      <c r="C100" s="107" t="s">
        <v>275</v>
      </c>
      <c r="D100" s="81">
        <v>16132</v>
      </c>
      <c r="E100" s="107" t="s">
        <v>279</v>
      </c>
      <c r="F100" s="81">
        <v>41</v>
      </c>
      <c r="G100" s="107"/>
      <c r="H100" s="81"/>
      <c r="I100" s="107"/>
      <c r="J100" s="81"/>
      <c r="K100" s="107"/>
      <c r="L100" s="81"/>
      <c r="M100" s="107"/>
      <c r="N100" s="81"/>
      <c r="O100" s="107"/>
      <c r="P100" s="81"/>
      <c r="Q100" s="107"/>
      <c r="R100" s="81"/>
      <c r="S100" s="107"/>
      <c r="T100" s="81"/>
      <c r="U100" s="107"/>
      <c r="V100" s="81"/>
    </row>
    <row r="101" spans="1:22" ht="15">
      <c r="A101" s="110" t="s">
        <v>306</v>
      </c>
      <c r="B101" s="81">
        <v>69015</v>
      </c>
      <c r="C101" s="107" t="s">
        <v>252</v>
      </c>
      <c r="D101" s="81">
        <v>12965</v>
      </c>
      <c r="E101" s="107"/>
      <c r="F101" s="81"/>
      <c r="G101" s="107"/>
      <c r="H101" s="81"/>
      <c r="I101" s="107"/>
      <c r="J101" s="81"/>
      <c r="K101" s="107"/>
      <c r="L101" s="81"/>
      <c r="M101" s="107"/>
      <c r="N101" s="81"/>
      <c r="O101" s="107"/>
      <c r="P101" s="81"/>
      <c r="Q101" s="107"/>
      <c r="R101" s="81"/>
      <c r="S101" s="107"/>
      <c r="T101" s="81"/>
      <c r="U101" s="107"/>
      <c r="V101" s="81"/>
    </row>
    <row r="102" spans="1:22" ht="15">
      <c r="A102" s="110" t="s">
        <v>253</v>
      </c>
      <c r="B102" s="81">
        <v>68311</v>
      </c>
      <c r="C102" s="107" t="s">
        <v>256</v>
      </c>
      <c r="D102" s="81">
        <v>11309</v>
      </c>
      <c r="E102" s="107"/>
      <c r="F102" s="81"/>
      <c r="G102" s="107"/>
      <c r="H102" s="81"/>
      <c r="I102" s="107"/>
      <c r="J102" s="81"/>
      <c r="K102" s="107"/>
      <c r="L102" s="81"/>
      <c r="M102" s="107"/>
      <c r="N102" s="81"/>
      <c r="O102" s="107"/>
      <c r="P102" s="81"/>
      <c r="Q102" s="107"/>
      <c r="R102" s="81"/>
      <c r="S102" s="107"/>
      <c r="T102" s="81"/>
      <c r="U102" s="107"/>
      <c r="V102" s="81"/>
    </row>
  </sheetData>
  <hyperlinks>
    <hyperlink ref="A2" r:id="rId1" display="https://www.northantstelegraph.co.uk/news/people/corby-art-and-music-maverick-bill-drummond-back-with-new-exhibition-3726882"/>
    <hyperlink ref="A3" r:id="rId2" display="https://twitter.com/tweetbytheriver/status/1535321437795500032"/>
    <hyperlink ref="A4" r:id="rId3" display="https://www.caughtbytheriver.net/2022/06/what-remains-rupert-callender-launch-event/"/>
    <hyperlink ref="A5" r:id="rId4" display="https://www.youtube.com/watch?v=4-g89Hqo-og"/>
    <hyperlink ref="A6" r:id="rId5" display="https://www.youtube.com/watch?v=am1s9kmtn5U"/>
    <hyperlink ref="A7" r:id="rId6" display="https://www.rooftopartscentre.co.uk/whats-on/"/>
    <hyperlink ref="A8" r:id="rId7" display="https://wholehoggblog.wordpress.com/2022/06/12/word-65/"/>
    <hyperlink ref="A9" r:id="rId8" display="https://www.youtube.com/watch?v=HcbM77qCu3o"/>
    <hyperlink ref="A10" r:id="rId9" display="https://www.youtube.com/watch?v=jEL8k95nNaE"/>
    <hyperlink ref="A11" r:id="rId10" display="https://twitter.com/NTelegraph/status/1535193040129871872"/>
    <hyperlink ref="C2" r:id="rId11" display="https://twitter.com/tweetbytheriver/status/1535321437795500032"/>
    <hyperlink ref="C3" r:id="rId12" display="https://www.caughtbytheriver.net/2022/06/what-remains-rupert-callender-launch-event/"/>
    <hyperlink ref="E2" r:id="rId13" display="https://www.northantstelegraph.co.uk/news/people/corby-art-and-music-maverick-bill-drummond-back-with-new-exhibition-3726882"/>
    <hyperlink ref="E3" r:id="rId14" display="https://www.rooftopartscentre.co.uk/whats-on/"/>
    <hyperlink ref="M2" r:id="rId15" display="https://www.northantstelegraph.co.uk/news/people/corby-art-and-music-maverick-bill-drummond-back-with-new-exhibition-3726882"/>
    <hyperlink ref="M3" r:id="rId16" display="https://www.upsmag.com/corby-art-and-music-maverick-bill-drummond-back-with-new-exhibition/"/>
    <hyperlink ref="O2" r:id="rId17" display="https://www.penkilnburn.com/antimacassar-to-kurdistan/"/>
    <hyperlink ref="O3" r:id="rId18" display="https://www.alimentation.cc/product/antimacassar/"/>
    <hyperlink ref="O4" r:id="rId19" display="https://www.northantstelegraph.co.uk/news/people/corby-art-and-music-maverick-bill-drummond-back-with-new-exhibition-3726882"/>
    <hyperlink ref="U2" r:id="rId20" display="https://wholehoggblog.wordpress.com/2022/06/12/word-65/"/>
  </hyperlinks>
  <printOptions/>
  <pageMargins left="0.7" right="0.7" top="0.75" bottom="0.75" header="0.3" footer="0.3"/>
  <pageSetup orientation="portrait" paperSize="9"/>
  <tableParts>
    <tablePart r:id="rId25"/>
    <tablePart r:id="rId23"/>
    <tablePart r:id="rId28"/>
    <tablePart r:id="rId22"/>
    <tablePart r:id="rId21"/>
    <tablePart r:id="rId24"/>
    <tablePart r:id="rId26"/>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A658-9DC1-4541-AF31-E27AEB4A98C6}">
  <dimension ref="A1:G691"/>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1784</v>
      </c>
      <c r="B1" s="13" t="s">
        <v>2076</v>
      </c>
      <c r="C1" s="13" t="s">
        <v>2080</v>
      </c>
      <c r="D1" s="13" t="s">
        <v>144</v>
      </c>
      <c r="E1" s="13" t="s">
        <v>2082</v>
      </c>
      <c r="F1" s="13" t="s">
        <v>2083</v>
      </c>
      <c r="G1" s="13" t="s">
        <v>2084</v>
      </c>
    </row>
    <row r="2" spans="1:7" ht="15">
      <c r="A2" s="81" t="s">
        <v>1785</v>
      </c>
      <c r="B2" s="81" t="s">
        <v>2077</v>
      </c>
      <c r="C2" s="113"/>
      <c r="D2" s="81"/>
      <c r="E2" s="81"/>
      <c r="F2" s="81"/>
      <c r="G2" s="81"/>
    </row>
    <row r="3" spans="1:7" ht="15">
      <c r="A3" s="82" t="s">
        <v>1786</v>
      </c>
      <c r="B3" s="81" t="s">
        <v>2078</v>
      </c>
      <c r="C3" s="113"/>
      <c r="D3" s="81"/>
      <c r="E3" s="81"/>
      <c r="F3" s="81"/>
      <c r="G3" s="81"/>
    </row>
    <row r="4" spans="1:7" ht="15">
      <c r="A4" s="82" t="s">
        <v>1787</v>
      </c>
      <c r="B4" s="81" t="s">
        <v>2079</v>
      </c>
      <c r="C4" s="113"/>
      <c r="D4" s="81"/>
      <c r="E4" s="81"/>
      <c r="F4" s="81"/>
      <c r="G4" s="81"/>
    </row>
    <row r="5" spans="1:7" ht="15">
      <c r="A5" s="82" t="s">
        <v>1788</v>
      </c>
      <c r="B5" s="81">
        <v>91</v>
      </c>
      <c r="C5" s="113">
        <v>0.021640903686087988</v>
      </c>
      <c r="D5" s="81"/>
      <c r="E5" s="81"/>
      <c r="F5" s="81"/>
      <c r="G5" s="81"/>
    </row>
    <row r="6" spans="1:7" ht="15">
      <c r="A6" s="82" t="s">
        <v>1789</v>
      </c>
      <c r="B6" s="81">
        <v>122</v>
      </c>
      <c r="C6" s="113">
        <v>0.029013079667063024</v>
      </c>
      <c r="D6" s="81"/>
      <c r="E6" s="81"/>
      <c r="F6" s="81"/>
      <c r="G6" s="81"/>
    </row>
    <row r="7" spans="1:7" ht="15">
      <c r="A7" s="82" t="s">
        <v>1790</v>
      </c>
      <c r="B7" s="81">
        <v>1</v>
      </c>
      <c r="C7" s="113">
        <v>0.00023781212841854935</v>
      </c>
      <c r="D7" s="81"/>
      <c r="E7" s="81"/>
      <c r="F7" s="81"/>
      <c r="G7" s="81"/>
    </row>
    <row r="8" spans="1:7" ht="15">
      <c r="A8" s="82" t="s">
        <v>1791</v>
      </c>
      <c r="B8" s="81">
        <v>3992</v>
      </c>
      <c r="C8" s="113">
        <v>0.949346016646849</v>
      </c>
      <c r="D8" s="81"/>
      <c r="E8" s="81"/>
      <c r="F8" s="81"/>
      <c r="G8" s="81"/>
    </row>
    <row r="9" spans="1:7" ht="15">
      <c r="A9" s="82" t="s">
        <v>1792</v>
      </c>
      <c r="B9" s="81">
        <v>4205</v>
      </c>
      <c r="C9" s="113">
        <v>1</v>
      </c>
      <c r="D9" s="81"/>
      <c r="E9" s="81"/>
      <c r="F9" s="81"/>
      <c r="G9" s="81"/>
    </row>
    <row r="10" spans="1:7" ht="15">
      <c r="A10" s="87" t="s">
        <v>1495</v>
      </c>
      <c r="B10" s="90">
        <v>220</v>
      </c>
      <c r="C10" s="114">
        <v>0.0006168838998215625</v>
      </c>
      <c r="D10" s="90" t="s">
        <v>2081</v>
      </c>
      <c r="E10" s="90" t="b">
        <v>0</v>
      </c>
      <c r="F10" s="90" t="b">
        <v>0</v>
      </c>
      <c r="G10" s="90" t="b">
        <v>0</v>
      </c>
    </row>
    <row r="11" spans="1:7" ht="15">
      <c r="A11" s="87" t="s">
        <v>1496</v>
      </c>
      <c r="B11" s="90">
        <v>218</v>
      </c>
      <c r="C11" s="114">
        <v>0.0007659585276858788</v>
      </c>
      <c r="D11" s="90" t="s">
        <v>2081</v>
      </c>
      <c r="E11" s="90" t="b">
        <v>0</v>
      </c>
      <c r="F11" s="90" t="b">
        <v>0</v>
      </c>
      <c r="G11" s="90" t="b">
        <v>0</v>
      </c>
    </row>
    <row r="12" spans="1:7" ht="15">
      <c r="A12" s="87" t="s">
        <v>1497</v>
      </c>
      <c r="B12" s="90">
        <v>56</v>
      </c>
      <c r="C12" s="114">
        <v>0.011954120524285381</v>
      </c>
      <c r="D12" s="90" t="s">
        <v>2081</v>
      </c>
      <c r="E12" s="90" t="b">
        <v>0</v>
      </c>
      <c r="F12" s="90" t="b">
        <v>0</v>
      </c>
      <c r="G12" s="90" t="b">
        <v>0</v>
      </c>
    </row>
    <row r="13" spans="1:7" ht="15">
      <c r="A13" s="87" t="s">
        <v>1498</v>
      </c>
      <c r="B13" s="90">
        <v>52</v>
      </c>
      <c r="C13" s="114">
        <v>0.011930252986179855</v>
      </c>
      <c r="D13" s="90" t="s">
        <v>2081</v>
      </c>
      <c r="E13" s="90" t="b">
        <v>0</v>
      </c>
      <c r="F13" s="90" t="b">
        <v>1</v>
      </c>
      <c r="G13" s="90" t="b">
        <v>0</v>
      </c>
    </row>
    <row r="14" spans="1:7" ht="15">
      <c r="A14" s="87" t="s">
        <v>539</v>
      </c>
      <c r="B14" s="90">
        <v>49</v>
      </c>
      <c r="C14" s="114">
        <v>0.01107851215222802</v>
      </c>
      <c r="D14" s="90" t="s">
        <v>2081</v>
      </c>
      <c r="E14" s="90" t="b">
        <v>0</v>
      </c>
      <c r="F14" s="90" t="b">
        <v>0</v>
      </c>
      <c r="G14" s="90" t="b">
        <v>0</v>
      </c>
    </row>
    <row r="15" spans="1:7" ht="15">
      <c r="A15" s="87" t="s">
        <v>1499</v>
      </c>
      <c r="B15" s="90">
        <v>48</v>
      </c>
      <c r="C15" s="114">
        <v>0.011692589574359716</v>
      </c>
      <c r="D15" s="90" t="s">
        <v>2081</v>
      </c>
      <c r="E15" s="90" t="b">
        <v>0</v>
      </c>
      <c r="F15" s="90" t="b">
        <v>0</v>
      </c>
      <c r="G15" s="90" t="b">
        <v>0</v>
      </c>
    </row>
    <row r="16" spans="1:7" ht="15">
      <c r="A16" s="87" t="s">
        <v>1500</v>
      </c>
      <c r="B16" s="90">
        <v>43</v>
      </c>
      <c r="C16" s="114">
        <v>0.010803079240860186</v>
      </c>
      <c r="D16" s="90" t="s">
        <v>2081</v>
      </c>
      <c r="E16" s="90" t="b">
        <v>0</v>
      </c>
      <c r="F16" s="90" t="b">
        <v>0</v>
      </c>
      <c r="G16" s="90" t="b">
        <v>0</v>
      </c>
    </row>
    <row r="17" spans="1:7" ht="15">
      <c r="A17" s="87" t="s">
        <v>1501</v>
      </c>
      <c r="B17" s="90">
        <v>40</v>
      </c>
      <c r="C17" s="114">
        <v>0.010371911015847356</v>
      </c>
      <c r="D17" s="90" t="s">
        <v>2081</v>
      </c>
      <c r="E17" s="90" t="b">
        <v>0</v>
      </c>
      <c r="F17" s="90" t="b">
        <v>0</v>
      </c>
      <c r="G17" s="90" t="b">
        <v>0</v>
      </c>
    </row>
    <row r="18" spans="1:7" ht="15">
      <c r="A18" s="87" t="s">
        <v>1502</v>
      </c>
      <c r="B18" s="90">
        <v>37</v>
      </c>
      <c r="C18" s="114">
        <v>0.01007512976554376</v>
      </c>
      <c r="D18" s="90" t="s">
        <v>2081</v>
      </c>
      <c r="E18" s="90" t="b">
        <v>0</v>
      </c>
      <c r="F18" s="90" t="b">
        <v>0</v>
      </c>
      <c r="G18" s="90" t="b">
        <v>0</v>
      </c>
    </row>
    <row r="19" spans="1:7" ht="15">
      <c r="A19" s="87" t="s">
        <v>1503</v>
      </c>
      <c r="B19" s="90">
        <v>37</v>
      </c>
      <c r="C19" s="114">
        <v>0.01007512976554376</v>
      </c>
      <c r="D19" s="90" t="s">
        <v>2081</v>
      </c>
      <c r="E19" s="90" t="b">
        <v>0</v>
      </c>
      <c r="F19" s="90" t="b">
        <v>0</v>
      </c>
      <c r="G19" s="90" t="b">
        <v>0</v>
      </c>
    </row>
    <row r="20" spans="1:7" ht="15">
      <c r="A20" s="87" t="s">
        <v>1793</v>
      </c>
      <c r="B20" s="90">
        <v>34</v>
      </c>
      <c r="C20" s="114">
        <v>0.009917006569375336</v>
      </c>
      <c r="D20" s="90" t="s">
        <v>2081</v>
      </c>
      <c r="E20" s="90" t="b">
        <v>0</v>
      </c>
      <c r="F20" s="90" t="b">
        <v>0</v>
      </c>
      <c r="G20" s="90" t="b">
        <v>0</v>
      </c>
    </row>
    <row r="21" spans="1:7" ht="15">
      <c r="A21" s="87" t="s">
        <v>1794</v>
      </c>
      <c r="B21" s="90">
        <v>33</v>
      </c>
      <c r="C21" s="114">
        <v>0.009457298199465163</v>
      </c>
      <c r="D21" s="90" t="s">
        <v>2081</v>
      </c>
      <c r="E21" s="90" t="b">
        <v>0</v>
      </c>
      <c r="F21" s="90" t="b">
        <v>0</v>
      </c>
      <c r="G21" s="90" t="b">
        <v>0</v>
      </c>
    </row>
    <row r="22" spans="1:7" ht="15">
      <c r="A22" s="87" t="s">
        <v>1795</v>
      </c>
      <c r="B22" s="90">
        <v>32</v>
      </c>
      <c r="C22" s="114">
        <v>0.010049422459332553</v>
      </c>
      <c r="D22" s="90" t="s">
        <v>2081</v>
      </c>
      <c r="E22" s="90" t="b">
        <v>0</v>
      </c>
      <c r="F22" s="90" t="b">
        <v>0</v>
      </c>
      <c r="G22" s="90" t="b">
        <v>0</v>
      </c>
    </row>
    <row r="23" spans="1:7" ht="15">
      <c r="A23" s="87" t="s">
        <v>1796</v>
      </c>
      <c r="B23" s="90">
        <v>31</v>
      </c>
      <c r="C23" s="114">
        <v>0.008884128611618788</v>
      </c>
      <c r="D23" s="90" t="s">
        <v>2081</v>
      </c>
      <c r="E23" s="90" t="b">
        <v>0</v>
      </c>
      <c r="F23" s="90" t="b">
        <v>0</v>
      </c>
      <c r="G23" s="90" t="b">
        <v>0</v>
      </c>
    </row>
    <row r="24" spans="1:7" ht="15">
      <c r="A24" s="87" t="s">
        <v>1797</v>
      </c>
      <c r="B24" s="90">
        <v>30</v>
      </c>
      <c r="C24" s="114">
        <v>0.00875029991415471</v>
      </c>
      <c r="D24" s="90" t="s">
        <v>2081</v>
      </c>
      <c r="E24" s="90" t="b">
        <v>0</v>
      </c>
      <c r="F24" s="90" t="b">
        <v>0</v>
      </c>
      <c r="G24" s="90" t="b">
        <v>0</v>
      </c>
    </row>
    <row r="25" spans="1:7" ht="15">
      <c r="A25" s="87" t="s">
        <v>1798</v>
      </c>
      <c r="B25" s="90">
        <v>28</v>
      </c>
      <c r="C25" s="114">
        <v>0.008627389164147164</v>
      </c>
      <c r="D25" s="90" t="s">
        <v>2081</v>
      </c>
      <c r="E25" s="90" t="b">
        <v>0</v>
      </c>
      <c r="F25" s="90" t="b">
        <v>0</v>
      </c>
      <c r="G25" s="90" t="b">
        <v>0</v>
      </c>
    </row>
    <row r="26" spans="1:7" ht="15">
      <c r="A26" s="87" t="s">
        <v>1799</v>
      </c>
      <c r="B26" s="90">
        <v>26</v>
      </c>
      <c r="C26" s="114">
        <v>0.0081651557482077</v>
      </c>
      <c r="D26" s="90" t="s">
        <v>2081</v>
      </c>
      <c r="E26" s="90" t="b">
        <v>0</v>
      </c>
      <c r="F26" s="90" t="b">
        <v>0</v>
      </c>
      <c r="G26" s="90" t="b">
        <v>0</v>
      </c>
    </row>
    <row r="27" spans="1:7" ht="15">
      <c r="A27" s="87" t="s">
        <v>1800</v>
      </c>
      <c r="B27" s="90">
        <v>25</v>
      </c>
      <c r="C27" s="114">
        <v>0.008005499917252433</v>
      </c>
      <c r="D27" s="90" t="s">
        <v>2081</v>
      </c>
      <c r="E27" s="90" t="b">
        <v>0</v>
      </c>
      <c r="F27" s="90" t="b">
        <v>0</v>
      </c>
      <c r="G27" s="90" t="b">
        <v>0</v>
      </c>
    </row>
    <row r="28" spans="1:7" ht="15">
      <c r="A28" s="87" t="s">
        <v>1801</v>
      </c>
      <c r="B28" s="90">
        <v>24</v>
      </c>
      <c r="C28" s="114">
        <v>0.007685279920562334</v>
      </c>
      <c r="D28" s="90" t="s">
        <v>2081</v>
      </c>
      <c r="E28" s="90" t="b">
        <v>0</v>
      </c>
      <c r="F28" s="90" t="b">
        <v>0</v>
      </c>
      <c r="G28" s="90" t="b">
        <v>0</v>
      </c>
    </row>
    <row r="29" spans="1:7" ht="15">
      <c r="A29" s="87" t="s">
        <v>1802</v>
      </c>
      <c r="B29" s="90">
        <v>23</v>
      </c>
      <c r="C29" s="114">
        <v>0.0076686671572583015</v>
      </c>
      <c r="D29" s="90" t="s">
        <v>2081</v>
      </c>
      <c r="E29" s="90" t="b">
        <v>0</v>
      </c>
      <c r="F29" s="90" t="b">
        <v>0</v>
      </c>
      <c r="G29" s="90" t="b">
        <v>0</v>
      </c>
    </row>
    <row r="30" spans="1:7" ht="15">
      <c r="A30" s="87" t="s">
        <v>1803</v>
      </c>
      <c r="B30" s="90">
        <v>23</v>
      </c>
      <c r="C30" s="114">
        <v>0.0075134122691759096</v>
      </c>
      <c r="D30" s="90" t="s">
        <v>2081</v>
      </c>
      <c r="E30" s="90" t="b">
        <v>0</v>
      </c>
      <c r="F30" s="90" t="b">
        <v>0</v>
      </c>
      <c r="G30" s="90" t="b">
        <v>0</v>
      </c>
    </row>
    <row r="31" spans="1:7" ht="15">
      <c r="A31" s="87" t="s">
        <v>1804</v>
      </c>
      <c r="B31" s="90">
        <v>21</v>
      </c>
      <c r="C31" s="114">
        <v>0.0071504985296988064</v>
      </c>
      <c r="D31" s="90" t="s">
        <v>2081</v>
      </c>
      <c r="E31" s="90" t="b">
        <v>0</v>
      </c>
      <c r="F31" s="90" t="b">
        <v>0</v>
      </c>
      <c r="G31" s="90" t="b">
        <v>0</v>
      </c>
    </row>
    <row r="32" spans="1:7" ht="15">
      <c r="A32" s="87" t="s">
        <v>1533</v>
      </c>
      <c r="B32" s="90">
        <v>18</v>
      </c>
      <c r="C32" s="114">
        <v>0.006404185786214321</v>
      </c>
      <c r="D32" s="90" t="s">
        <v>2081</v>
      </c>
      <c r="E32" s="90" t="b">
        <v>0</v>
      </c>
      <c r="F32" s="90" t="b">
        <v>0</v>
      </c>
      <c r="G32" s="90" t="b">
        <v>0</v>
      </c>
    </row>
    <row r="33" spans="1:7" ht="15">
      <c r="A33" s="87" t="s">
        <v>1805</v>
      </c>
      <c r="B33" s="90">
        <v>18</v>
      </c>
      <c r="C33" s="114">
        <v>0.006404185786214321</v>
      </c>
      <c r="D33" s="90" t="s">
        <v>2081</v>
      </c>
      <c r="E33" s="90" t="b">
        <v>0</v>
      </c>
      <c r="F33" s="90" t="b">
        <v>0</v>
      </c>
      <c r="G33" s="90" t="b">
        <v>0</v>
      </c>
    </row>
    <row r="34" spans="1:7" ht="15">
      <c r="A34" s="87" t="s">
        <v>1505</v>
      </c>
      <c r="B34" s="90">
        <v>18</v>
      </c>
      <c r="C34" s="114">
        <v>0.007690466026445345</v>
      </c>
      <c r="D34" s="90" t="s">
        <v>2081</v>
      </c>
      <c r="E34" s="90" t="b">
        <v>0</v>
      </c>
      <c r="F34" s="90" t="b">
        <v>0</v>
      </c>
      <c r="G34" s="90" t="b">
        <v>0</v>
      </c>
    </row>
    <row r="35" spans="1:7" ht="15">
      <c r="A35" s="87" t="s">
        <v>1806</v>
      </c>
      <c r="B35" s="90">
        <v>17</v>
      </c>
      <c r="C35" s="114">
        <v>0.0063389399127087185</v>
      </c>
      <c r="D35" s="90" t="s">
        <v>2081</v>
      </c>
      <c r="E35" s="90" t="b">
        <v>0</v>
      </c>
      <c r="F35" s="90" t="b">
        <v>0</v>
      </c>
      <c r="G35" s="90" t="b">
        <v>0</v>
      </c>
    </row>
    <row r="36" spans="1:7" ht="15">
      <c r="A36" s="87" t="s">
        <v>1807</v>
      </c>
      <c r="B36" s="90">
        <v>16</v>
      </c>
      <c r="C36" s="114">
        <v>0.005966061094314089</v>
      </c>
      <c r="D36" s="90" t="s">
        <v>2081</v>
      </c>
      <c r="E36" s="90" t="b">
        <v>0</v>
      </c>
      <c r="F36" s="90" t="b">
        <v>0</v>
      </c>
      <c r="G36" s="90" t="b">
        <v>0</v>
      </c>
    </row>
    <row r="37" spans="1:7" ht="15">
      <c r="A37" s="87" t="s">
        <v>1808</v>
      </c>
      <c r="B37" s="90">
        <v>16</v>
      </c>
      <c r="C37" s="114">
        <v>0.006115897237850306</v>
      </c>
      <c r="D37" s="90" t="s">
        <v>2081</v>
      </c>
      <c r="E37" s="90" t="b">
        <v>0</v>
      </c>
      <c r="F37" s="90" t="b">
        <v>0</v>
      </c>
      <c r="G37" s="90" t="b">
        <v>0</v>
      </c>
    </row>
    <row r="38" spans="1:7" ht="15">
      <c r="A38" s="87" t="s">
        <v>274</v>
      </c>
      <c r="B38" s="90">
        <v>15</v>
      </c>
      <c r="C38" s="114">
        <v>0.005733653660484662</v>
      </c>
      <c r="D38" s="90" t="s">
        <v>2081</v>
      </c>
      <c r="E38" s="90" t="b">
        <v>0</v>
      </c>
      <c r="F38" s="90" t="b">
        <v>0</v>
      </c>
      <c r="G38" s="90" t="b">
        <v>0</v>
      </c>
    </row>
    <row r="39" spans="1:7" ht="15">
      <c r="A39" s="87" t="s">
        <v>1809</v>
      </c>
      <c r="B39" s="90">
        <v>14</v>
      </c>
      <c r="C39" s="114">
        <v>0.005491565488158846</v>
      </c>
      <c r="D39" s="90" t="s">
        <v>2081</v>
      </c>
      <c r="E39" s="90" t="b">
        <v>0</v>
      </c>
      <c r="F39" s="90" t="b">
        <v>0</v>
      </c>
      <c r="G39" s="90" t="b">
        <v>0</v>
      </c>
    </row>
    <row r="40" spans="1:7" ht="15">
      <c r="A40" s="87" t="s">
        <v>1810</v>
      </c>
      <c r="B40" s="90">
        <v>14</v>
      </c>
      <c r="C40" s="114">
        <v>0.005491565488158846</v>
      </c>
      <c r="D40" s="90" t="s">
        <v>2081</v>
      </c>
      <c r="E40" s="90" t="b">
        <v>0</v>
      </c>
      <c r="F40" s="90" t="b">
        <v>0</v>
      </c>
      <c r="G40" s="90" t="b">
        <v>0</v>
      </c>
    </row>
    <row r="41" spans="1:7" ht="15">
      <c r="A41" s="87" t="s">
        <v>1506</v>
      </c>
      <c r="B41" s="90">
        <v>14</v>
      </c>
      <c r="C41" s="114">
        <v>0.006899657683045493</v>
      </c>
      <c r="D41" s="90" t="s">
        <v>2081</v>
      </c>
      <c r="E41" s="90" t="b">
        <v>1</v>
      </c>
      <c r="F41" s="90" t="b">
        <v>0</v>
      </c>
      <c r="G41" s="90" t="b">
        <v>0</v>
      </c>
    </row>
    <row r="42" spans="1:7" ht="15">
      <c r="A42" s="87" t="s">
        <v>1811</v>
      </c>
      <c r="B42" s="90">
        <v>13</v>
      </c>
      <c r="C42" s="114">
        <v>0.005239103955714942</v>
      </c>
      <c r="D42" s="90" t="s">
        <v>2081</v>
      </c>
      <c r="E42" s="90" t="b">
        <v>0</v>
      </c>
      <c r="F42" s="90" t="b">
        <v>0</v>
      </c>
      <c r="G42" s="90" t="b">
        <v>0</v>
      </c>
    </row>
    <row r="43" spans="1:7" ht="15">
      <c r="A43" s="87" t="s">
        <v>1812</v>
      </c>
      <c r="B43" s="90">
        <v>12</v>
      </c>
      <c r="C43" s="114">
        <v>0.004975469589295406</v>
      </c>
      <c r="D43" s="90" t="s">
        <v>2081</v>
      </c>
      <c r="E43" s="90" t="b">
        <v>0</v>
      </c>
      <c r="F43" s="90" t="b">
        <v>0</v>
      </c>
      <c r="G43" s="90" t="b">
        <v>0</v>
      </c>
    </row>
    <row r="44" spans="1:7" ht="15">
      <c r="A44" s="87" t="s">
        <v>1813</v>
      </c>
      <c r="B44" s="90">
        <v>12</v>
      </c>
      <c r="C44" s="114">
        <v>0.005126977350963563</v>
      </c>
      <c r="D44" s="90" t="s">
        <v>2081</v>
      </c>
      <c r="E44" s="90" t="b">
        <v>0</v>
      </c>
      <c r="F44" s="90" t="b">
        <v>0</v>
      </c>
      <c r="G44" s="90" t="b">
        <v>0</v>
      </c>
    </row>
    <row r="45" spans="1:7" ht="15">
      <c r="A45" s="87" t="s">
        <v>1814</v>
      </c>
      <c r="B45" s="90">
        <v>11</v>
      </c>
      <c r="C45" s="114">
        <v>0.004699729238383267</v>
      </c>
      <c r="D45" s="90" t="s">
        <v>2081</v>
      </c>
      <c r="E45" s="90" t="b">
        <v>0</v>
      </c>
      <c r="F45" s="90" t="b">
        <v>0</v>
      </c>
      <c r="G45" s="90" t="b">
        <v>0</v>
      </c>
    </row>
    <row r="46" spans="1:7" ht="15">
      <c r="A46" s="87" t="s">
        <v>1815</v>
      </c>
      <c r="B46" s="90">
        <v>11</v>
      </c>
      <c r="C46" s="114">
        <v>0.004851857382967455</v>
      </c>
      <c r="D46" s="90" t="s">
        <v>2081</v>
      </c>
      <c r="E46" s="90" t="b">
        <v>0</v>
      </c>
      <c r="F46" s="90" t="b">
        <v>0</v>
      </c>
      <c r="G46" s="90" t="b">
        <v>0</v>
      </c>
    </row>
    <row r="47" spans="1:7" ht="15">
      <c r="A47" s="87" t="s">
        <v>1816</v>
      </c>
      <c r="B47" s="90">
        <v>11</v>
      </c>
      <c r="C47" s="114">
        <v>0.004851857382967455</v>
      </c>
      <c r="D47" s="90" t="s">
        <v>2081</v>
      </c>
      <c r="E47" s="90" t="b">
        <v>0</v>
      </c>
      <c r="F47" s="90" t="b">
        <v>0</v>
      </c>
      <c r="G47" s="90" t="b">
        <v>0</v>
      </c>
    </row>
    <row r="48" spans="1:7" ht="15">
      <c r="A48" s="87" t="s">
        <v>1817</v>
      </c>
      <c r="B48" s="90">
        <v>11</v>
      </c>
      <c r="C48" s="114">
        <v>0.004699729238383267</v>
      </c>
      <c r="D48" s="90" t="s">
        <v>2081</v>
      </c>
      <c r="E48" s="90" t="b">
        <v>0</v>
      </c>
      <c r="F48" s="90" t="b">
        <v>0</v>
      </c>
      <c r="G48" s="90" t="b">
        <v>0</v>
      </c>
    </row>
    <row r="49" spans="1:7" ht="15">
      <c r="A49" s="87" t="s">
        <v>1507</v>
      </c>
      <c r="B49" s="90">
        <v>11</v>
      </c>
      <c r="C49" s="114">
        <v>0.004851857382967455</v>
      </c>
      <c r="D49" s="90" t="s">
        <v>2081</v>
      </c>
      <c r="E49" s="90" t="b">
        <v>0</v>
      </c>
      <c r="F49" s="90" t="b">
        <v>0</v>
      </c>
      <c r="G49" s="90" t="b">
        <v>0</v>
      </c>
    </row>
    <row r="50" spans="1:7" ht="15">
      <c r="A50" s="87" t="s">
        <v>1522</v>
      </c>
      <c r="B50" s="90">
        <v>11</v>
      </c>
      <c r="C50" s="114">
        <v>0.004699729238383267</v>
      </c>
      <c r="D50" s="90" t="s">
        <v>2081</v>
      </c>
      <c r="E50" s="90" t="b">
        <v>1</v>
      </c>
      <c r="F50" s="90" t="b">
        <v>0</v>
      </c>
      <c r="G50" s="90" t="b">
        <v>0</v>
      </c>
    </row>
    <row r="51" spans="1:7" ht="15">
      <c r="A51" s="87" t="s">
        <v>1818</v>
      </c>
      <c r="B51" s="90">
        <v>10</v>
      </c>
      <c r="C51" s="114">
        <v>0.004410779439061323</v>
      </c>
      <c r="D51" s="90" t="s">
        <v>2081</v>
      </c>
      <c r="E51" s="90" t="b">
        <v>0</v>
      </c>
      <c r="F51" s="90" t="b">
        <v>0</v>
      </c>
      <c r="G51" s="90" t="b">
        <v>0</v>
      </c>
    </row>
    <row r="52" spans="1:7" ht="15">
      <c r="A52" s="87" t="s">
        <v>1508</v>
      </c>
      <c r="B52" s="90">
        <v>10</v>
      </c>
      <c r="C52" s="114">
        <v>0.004410779439061323</v>
      </c>
      <c r="D52" s="90" t="s">
        <v>2081</v>
      </c>
      <c r="E52" s="90" t="b">
        <v>0</v>
      </c>
      <c r="F52" s="90" t="b">
        <v>0</v>
      </c>
      <c r="G52" s="90" t="b">
        <v>0</v>
      </c>
    </row>
    <row r="53" spans="1:7" ht="15">
      <c r="A53" s="87" t="s">
        <v>273</v>
      </c>
      <c r="B53" s="90">
        <v>10</v>
      </c>
      <c r="C53" s="114">
        <v>0.004410779439061323</v>
      </c>
      <c r="D53" s="90" t="s">
        <v>2081</v>
      </c>
      <c r="E53" s="90" t="b">
        <v>0</v>
      </c>
      <c r="F53" s="90" t="b">
        <v>0</v>
      </c>
      <c r="G53" s="90" t="b">
        <v>0</v>
      </c>
    </row>
    <row r="54" spans="1:7" ht="15">
      <c r="A54" s="87" t="s">
        <v>1819</v>
      </c>
      <c r="B54" s="90">
        <v>9</v>
      </c>
      <c r="C54" s="114">
        <v>0.004107295018391434</v>
      </c>
      <c r="D54" s="90" t="s">
        <v>2081</v>
      </c>
      <c r="E54" s="90" t="b">
        <v>0</v>
      </c>
      <c r="F54" s="90" t="b">
        <v>0</v>
      </c>
      <c r="G54" s="90" t="b">
        <v>0</v>
      </c>
    </row>
    <row r="55" spans="1:7" ht="15">
      <c r="A55" s="87" t="s">
        <v>1820</v>
      </c>
      <c r="B55" s="90">
        <v>9</v>
      </c>
      <c r="C55" s="114">
        <v>0.004261111490835948</v>
      </c>
      <c r="D55" s="90" t="s">
        <v>2081</v>
      </c>
      <c r="E55" s="90" t="b">
        <v>0</v>
      </c>
      <c r="F55" s="90" t="b">
        <v>0</v>
      </c>
      <c r="G55" s="90" t="b">
        <v>0</v>
      </c>
    </row>
    <row r="56" spans="1:7" ht="15">
      <c r="A56" s="87" t="s">
        <v>1821</v>
      </c>
      <c r="B56" s="90">
        <v>9</v>
      </c>
      <c r="C56" s="114">
        <v>0.004107295018391434</v>
      </c>
      <c r="D56" s="90" t="s">
        <v>2081</v>
      </c>
      <c r="E56" s="90" t="b">
        <v>0</v>
      </c>
      <c r="F56" s="90" t="b">
        <v>0</v>
      </c>
      <c r="G56" s="90" t="b">
        <v>0</v>
      </c>
    </row>
    <row r="57" spans="1:7" ht="15">
      <c r="A57" s="87" t="s">
        <v>1822</v>
      </c>
      <c r="B57" s="90">
        <v>8</v>
      </c>
      <c r="C57" s="114">
        <v>0.003942661533168853</v>
      </c>
      <c r="D57" s="90" t="s">
        <v>2081</v>
      </c>
      <c r="E57" s="90" t="b">
        <v>0</v>
      </c>
      <c r="F57" s="90" t="b">
        <v>0</v>
      </c>
      <c r="G57" s="90" t="b">
        <v>0</v>
      </c>
    </row>
    <row r="58" spans="1:7" ht="15">
      <c r="A58" s="87" t="s">
        <v>1823</v>
      </c>
      <c r="B58" s="90">
        <v>8</v>
      </c>
      <c r="C58" s="114">
        <v>0.003787654658520843</v>
      </c>
      <c r="D58" s="90" t="s">
        <v>2081</v>
      </c>
      <c r="E58" s="90" t="b">
        <v>0</v>
      </c>
      <c r="F58" s="90" t="b">
        <v>0</v>
      </c>
      <c r="G58" s="90" t="b">
        <v>0</v>
      </c>
    </row>
    <row r="59" spans="1:7" ht="15">
      <c r="A59" s="87" t="s">
        <v>1824</v>
      </c>
      <c r="B59" s="90">
        <v>8</v>
      </c>
      <c r="C59" s="114">
        <v>0.003787654658520843</v>
      </c>
      <c r="D59" s="90" t="s">
        <v>2081</v>
      </c>
      <c r="E59" s="90" t="b">
        <v>0</v>
      </c>
      <c r="F59" s="90" t="b">
        <v>0</v>
      </c>
      <c r="G59" s="90" t="b">
        <v>0</v>
      </c>
    </row>
    <row r="60" spans="1:7" ht="15">
      <c r="A60" s="87" t="s">
        <v>1475</v>
      </c>
      <c r="B60" s="90">
        <v>8</v>
      </c>
      <c r="C60" s="114">
        <v>0.003787654658520843</v>
      </c>
      <c r="D60" s="90" t="s">
        <v>2081</v>
      </c>
      <c r="E60" s="90" t="b">
        <v>0</v>
      </c>
      <c r="F60" s="90" t="b">
        <v>0</v>
      </c>
      <c r="G60" s="90" t="b">
        <v>0</v>
      </c>
    </row>
    <row r="61" spans="1:7" ht="15">
      <c r="A61" s="87" t="s">
        <v>1825</v>
      </c>
      <c r="B61" s="90">
        <v>8</v>
      </c>
      <c r="C61" s="114">
        <v>0.003787654658520843</v>
      </c>
      <c r="D61" s="90" t="s">
        <v>2081</v>
      </c>
      <c r="E61" s="90" t="b">
        <v>0</v>
      </c>
      <c r="F61" s="90" t="b">
        <v>0</v>
      </c>
      <c r="G61" s="90" t="b">
        <v>0</v>
      </c>
    </row>
    <row r="62" spans="1:7" ht="15">
      <c r="A62" s="87" t="s">
        <v>1509</v>
      </c>
      <c r="B62" s="90">
        <v>8</v>
      </c>
      <c r="C62" s="114">
        <v>0.003787654658520843</v>
      </c>
      <c r="D62" s="90" t="s">
        <v>2081</v>
      </c>
      <c r="E62" s="90" t="b">
        <v>0</v>
      </c>
      <c r="F62" s="90" t="b">
        <v>0</v>
      </c>
      <c r="G62" s="90" t="b">
        <v>0</v>
      </c>
    </row>
    <row r="63" spans="1:7" ht="15">
      <c r="A63" s="87" t="s">
        <v>1510</v>
      </c>
      <c r="B63" s="90">
        <v>8</v>
      </c>
      <c r="C63" s="114">
        <v>0.003787654658520843</v>
      </c>
      <c r="D63" s="90" t="s">
        <v>2081</v>
      </c>
      <c r="E63" s="90" t="b">
        <v>0</v>
      </c>
      <c r="F63" s="90" t="b">
        <v>0</v>
      </c>
      <c r="G63" s="90" t="b">
        <v>0</v>
      </c>
    </row>
    <row r="64" spans="1:7" ht="15">
      <c r="A64" s="87" t="s">
        <v>1826</v>
      </c>
      <c r="B64" s="90">
        <v>8</v>
      </c>
      <c r="C64" s="114">
        <v>0.003787654658520843</v>
      </c>
      <c r="D64" s="90" t="s">
        <v>2081</v>
      </c>
      <c r="E64" s="90" t="b">
        <v>0</v>
      </c>
      <c r="F64" s="90" t="b">
        <v>0</v>
      </c>
      <c r="G64" s="90" t="b">
        <v>0</v>
      </c>
    </row>
    <row r="65" spans="1:7" ht="15">
      <c r="A65" s="87" t="s">
        <v>1827</v>
      </c>
      <c r="B65" s="90">
        <v>8</v>
      </c>
      <c r="C65" s="114">
        <v>0.003787654658520843</v>
      </c>
      <c r="D65" s="90" t="s">
        <v>2081</v>
      </c>
      <c r="E65" s="90" t="b">
        <v>0</v>
      </c>
      <c r="F65" s="90" t="b">
        <v>0</v>
      </c>
      <c r="G65" s="90" t="b">
        <v>0</v>
      </c>
    </row>
    <row r="66" spans="1:7" ht="15">
      <c r="A66" s="87" t="s">
        <v>1828</v>
      </c>
      <c r="B66" s="90">
        <v>8</v>
      </c>
      <c r="C66" s="114">
        <v>0.003787654658520843</v>
      </c>
      <c r="D66" s="90" t="s">
        <v>2081</v>
      </c>
      <c r="E66" s="90" t="b">
        <v>0</v>
      </c>
      <c r="F66" s="90" t="b">
        <v>0</v>
      </c>
      <c r="G66" s="90" t="b">
        <v>0</v>
      </c>
    </row>
    <row r="67" spans="1:7" ht="15">
      <c r="A67" s="87" t="s">
        <v>1829</v>
      </c>
      <c r="B67" s="90">
        <v>7</v>
      </c>
      <c r="C67" s="114">
        <v>0.0034498288415227463</v>
      </c>
      <c r="D67" s="90" t="s">
        <v>2081</v>
      </c>
      <c r="E67" s="90" t="b">
        <v>0</v>
      </c>
      <c r="F67" s="90" t="b">
        <v>0</v>
      </c>
      <c r="G67" s="90" t="b">
        <v>0</v>
      </c>
    </row>
    <row r="68" spans="1:7" ht="15">
      <c r="A68" s="87" t="s">
        <v>1830</v>
      </c>
      <c r="B68" s="90">
        <v>7</v>
      </c>
      <c r="C68" s="114">
        <v>0.0034498288415227463</v>
      </c>
      <c r="D68" s="90" t="s">
        <v>2081</v>
      </c>
      <c r="E68" s="90" t="b">
        <v>0</v>
      </c>
      <c r="F68" s="90" t="b">
        <v>0</v>
      </c>
      <c r="G68" s="90" t="b">
        <v>0</v>
      </c>
    </row>
    <row r="69" spans="1:7" ht="15">
      <c r="A69" s="87" t="s">
        <v>1831</v>
      </c>
      <c r="B69" s="90">
        <v>7</v>
      </c>
      <c r="C69" s="114">
        <v>0.0034498288415227463</v>
      </c>
      <c r="D69" s="90" t="s">
        <v>2081</v>
      </c>
      <c r="E69" s="90" t="b">
        <v>0</v>
      </c>
      <c r="F69" s="90" t="b">
        <v>0</v>
      </c>
      <c r="G69" s="90" t="b">
        <v>0</v>
      </c>
    </row>
    <row r="70" spans="1:7" ht="15">
      <c r="A70" s="87" t="s">
        <v>1524</v>
      </c>
      <c r="B70" s="90">
        <v>7</v>
      </c>
      <c r="C70" s="114">
        <v>0.0034498288415227463</v>
      </c>
      <c r="D70" s="90" t="s">
        <v>2081</v>
      </c>
      <c r="E70" s="90" t="b">
        <v>0</v>
      </c>
      <c r="F70" s="90" t="b">
        <v>0</v>
      </c>
      <c r="G70" s="90" t="b">
        <v>0</v>
      </c>
    </row>
    <row r="71" spans="1:7" ht="15">
      <c r="A71" s="87" t="s">
        <v>1832</v>
      </c>
      <c r="B71" s="90">
        <v>7</v>
      </c>
      <c r="C71" s="114">
        <v>0.0034498288415227463</v>
      </c>
      <c r="D71" s="90" t="s">
        <v>2081</v>
      </c>
      <c r="E71" s="90" t="b">
        <v>0</v>
      </c>
      <c r="F71" s="90" t="b">
        <v>0</v>
      </c>
      <c r="G71" s="90" t="b">
        <v>0</v>
      </c>
    </row>
    <row r="72" spans="1:7" ht="15">
      <c r="A72" s="87" t="s">
        <v>1833</v>
      </c>
      <c r="B72" s="90">
        <v>7</v>
      </c>
      <c r="C72" s="114">
        <v>0.0034498288415227463</v>
      </c>
      <c r="D72" s="90" t="s">
        <v>2081</v>
      </c>
      <c r="E72" s="90" t="b">
        <v>0</v>
      </c>
      <c r="F72" s="90" t="b">
        <v>0</v>
      </c>
      <c r="G72" s="90" t="b">
        <v>0</v>
      </c>
    </row>
    <row r="73" spans="1:7" ht="15">
      <c r="A73" s="87" t="s">
        <v>1834</v>
      </c>
      <c r="B73" s="90">
        <v>7</v>
      </c>
      <c r="C73" s="114">
        <v>0.0034498288415227463</v>
      </c>
      <c r="D73" s="90" t="s">
        <v>2081</v>
      </c>
      <c r="E73" s="90" t="b">
        <v>0</v>
      </c>
      <c r="F73" s="90" t="b">
        <v>0</v>
      </c>
      <c r="G73" s="90" t="b">
        <v>0</v>
      </c>
    </row>
    <row r="74" spans="1:7" ht="15">
      <c r="A74" s="87" t="s">
        <v>1835</v>
      </c>
      <c r="B74" s="90">
        <v>7</v>
      </c>
      <c r="C74" s="114">
        <v>0.0034498288415227463</v>
      </c>
      <c r="D74" s="90" t="s">
        <v>2081</v>
      </c>
      <c r="E74" s="90" t="b">
        <v>0</v>
      </c>
      <c r="F74" s="90" t="b">
        <v>1</v>
      </c>
      <c r="G74" s="90" t="b">
        <v>0</v>
      </c>
    </row>
    <row r="75" spans="1:7" ht="15">
      <c r="A75" s="87" t="s">
        <v>1836</v>
      </c>
      <c r="B75" s="90">
        <v>7</v>
      </c>
      <c r="C75" s="114">
        <v>0.0034498288415227463</v>
      </c>
      <c r="D75" s="90" t="s">
        <v>2081</v>
      </c>
      <c r="E75" s="90" t="b">
        <v>0</v>
      </c>
      <c r="F75" s="90" t="b">
        <v>0</v>
      </c>
      <c r="G75" s="90" t="b">
        <v>0</v>
      </c>
    </row>
    <row r="76" spans="1:7" ht="15">
      <c r="A76" s="87" t="s">
        <v>1837</v>
      </c>
      <c r="B76" s="90">
        <v>7</v>
      </c>
      <c r="C76" s="114">
        <v>0.0034498288415227463</v>
      </c>
      <c r="D76" s="90" t="s">
        <v>2081</v>
      </c>
      <c r="E76" s="90" t="b">
        <v>0</v>
      </c>
      <c r="F76" s="90" t="b">
        <v>0</v>
      </c>
      <c r="G76" s="90" t="b">
        <v>0</v>
      </c>
    </row>
    <row r="77" spans="1:7" ht="15">
      <c r="A77" s="87" t="s">
        <v>1838</v>
      </c>
      <c r="B77" s="90">
        <v>7</v>
      </c>
      <c r="C77" s="114">
        <v>0.0034498288415227463</v>
      </c>
      <c r="D77" s="90" t="s">
        <v>2081</v>
      </c>
      <c r="E77" s="90" t="b">
        <v>0</v>
      </c>
      <c r="F77" s="90" t="b">
        <v>0</v>
      </c>
      <c r="G77" s="90" t="b">
        <v>0</v>
      </c>
    </row>
    <row r="78" spans="1:7" ht="15">
      <c r="A78" s="87" t="s">
        <v>1839</v>
      </c>
      <c r="B78" s="90">
        <v>7</v>
      </c>
      <c r="C78" s="114">
        <v>0.0034498288415227463</v>
      </c>
      <c r="D78" s="90" t="s">
        <v>2081</v>
      </c>
      <c r="E78" s="90" t="b">
        <v>0</v>
      </c>
      <c r="F78" s="90" t="b">
        <v>0</v>
      </c>
      <c r="G78" s="90" t="b">
        <v>0</v>
      </c>
    </row>
    <row r="79" spans="1:7" ht="15">
      <c r="A79" s="87" t="s">
        <v>1840</v>
      </c>
      <c r="B79" s="90">
        <v>7</v>
      </c>
      <c r="C79" s="114">
        <v>0.0034498288415227463</v>
      </c>
      <c r="D79" s="90" t="s">
        <v>2081</v>
      </c>
      <c r="E79" s="90" t="b">
        <v>0</v>
      </c>
      <c r="F79" s="90" t="b">
        <v>0</v>
      </c>
      <c r="G79" s="90" t="b">
        <v>0</v>
      </c>
    </row>
    <row r="80" spans="1:7" ht="15">
      <c r="A80" s="87" t="s">
        <v>1841</v>
      </c>
      <c r="B80" s="90">
        <v>7</v>
      </c>
      <c r="C80" s="114">
        <v>0.0034498288415227463</v>
      </c>
      <c r="D80" s="90" t="s">
        <v>2081</v>
      </c>
      <c r="E80" s="90" t="b">
        <v>0</v>
      </c>
      <c r="F80" s="90" t="b">
        <v>0</v>
      </c>
      <c r="G80" s="90" t="b">
        <v>0</v>
      </c>
    </row>
    <row r="81" spans="1:7" ht="15">
      <c r="A81" s="87" t="s">
        <v>1842</v>
      </c>
      <c r="B81" s="90">
        <v>7</v>
      </c>
      <c r="C81" s="114">
        <v>0.0034498288415227463</v>
      </c>
      <c r="D81" s="90" t="s">
        <v>2081</v>
      </c>
      <c r="E81" s="90" t="b">
        <v>0</v>
      </c>
      <c r="F81" s="90" t="b">
        <v>0</v>
      </c>
      <c r="G81" s="90" t="b">
        <v>0</v>
      </c>
    </row>
    <row r="82" spans="1:7" ht="15">
      <c r="A82" s="87" t="s">
        <v>1843</v>
      </c>
      <c r="B82" s="90">
        <v>7</v>
      </c>
      <c r="C82" s="114">
        <v>0.0034498288415227463</v>
      </c>
      <c r="D82" s="90" t="s">
        <v>2081</v>
      </c>
      <c r="E82" s="90" t="b">
        <v>0</v>
      </c>
      <c r="F82" s="90" t="b">
        <v>0</v>
      </c>
      <c r="G82" s="90" t="b">
        <v>0</v>
      </c>
    </row>
    <row r="83" spans="1:7" ht="15">
      <c r="A83" s="87" t="s">
        <v>1844</v>
      </c>
      <c r="B83" s="90">
        <v>7</v>
      </c>
      <c r="C83" s="114">
        <v>0.0034498288415227463</v>
      </c>
      <c r="D83" s="90" t="s">
        <v>2081</v>
      </c>
      <c r="E83" s="90" t="b">
        <v>0</v>
      </c>
      <c r="F83" s="90" t="b">
        <v>0</v>
      </c>
      <c r="G83" s="90" t="b">
        <v>0</v>
      </c>
    </row>
    <row r="84" spans="1:7" ht="15">
      <c r="A84" s="87" t="s">
        <v>1845</v>
      </c>
      <c r="B84" s="90">
        <v>7</v>
      </c>
      <c r="C84" s="114">
        <v>0.0034498288415227463</v>
      </c>
      <c r="D84" s="90" t="s">
        <v>2081</v>
      </c>
      <c r="E84" s="90" t="b">
        <v>0</v>
      </c>
      <c r="F84" s="90" t="b">
        <v>0</v>
      </c>
      <c r="G84" s="90" t="b">
        <v>0</v>
      </c>
    </row>
    <row r="85" spans="1:7" ht="15">
      <c r="A85" s="87" t="s">
        <v>1846</v>
      </c>
      <c r="B85" s="90">
        <v>7</v>
      </c>
      <c r="C85" s="114">
        <v>0.0034498288415227463</v>
      </c>
      <c r="D85" s="90" t="s">
        <v>2081</v>
      </c>
      <c r="E85" s="90" t="b">
        <v>0</v>
      </c>
      <c r="F85" s="90" t="b">
        <v>0</v>
      </c>
      <c r="G85" s="90" t="b">
        <v>0</v>
      </c>
    </row>
    <row r="86" spans="1:7" ht="15">
      <c r="A86" s="87" t="s">
        <v>1847</v>
      </c>
      <c r="B86" s="90">
        <v>7</v>
      </c>
      <c r="C86" s="114">
        <v>0.0034498288415227463</v>
      </c>
      <c r="D86" s="90" t="s">
        <v>2081</v>
      </c>
      <c r="E86" s="90" t="b">
        <v>1</v>
      </c>
      <c r="F86" s="90" t="b">
        <v>0</v>
      </c>
      <c r="G86" s="90" t="b">
        <v>0</v>
      </c>
    </row>
    <row r="87" spans="1:7" ht="15">
      <c r="A87" s="87" t="s">
        <v>1848</v>
      </c>
      <c r="B87" s="90">
        <v>7</v>
      </c>
      <c r="C87" s="114">
        <v>0.0034498288415227463</v>
      </c>
      <c r="D87" s="90" t="s">
        <v>2081</v>
      </c>
      <c r="E87" s="90" t="b">
        <v>0</v>
      </c>
      <c r="F87" s="90" t="b">
        <v>0</v>
      </c>
      <c r="G87" s="90" t="b">
        <v>0</v>
      </c>
    </row>
    <row r="88" spans="1:7" ht="15">
      <c r="A88" s="87" t="s">
        <v>275</v>
      </c>
      <c r="B88" s="90">
        <v>7</v>
      </c>
      <c r="C88" s="114">
        <v>0.0034498288415227463</v>
      </c>
      <c r="D88" s="90" t="s">
        <v>2081</v>
      </c>
      <c r="E88" s="90" t="b">
        <v>0</v>
      </c>
      <c r="F88" s="90" t="b">
        <v>0</v>
      </c>
      <c r="G88" s="90" t="b">
        <v>0</v>
      </c>
    </row>
    <row r="89" spans="1:7" ht="15">
      <c r="A89" s="87" t="s">
        <v>1849</v>
      </c>
      <c r="B89" s="90">
        <v>7</v>
      </c>
      <c r="C89" s="114">
        <v>0.0034498288415227463</v>
      </c>
      <c r="D89" s="90" t="s">
        <v>2081</v>
      </c>
      <c r="E89" s="90" t="b">
        <v>0</v>
      </c>
      <c r="F89" s="90" t="b">
        <v>0</v>
      </c>
      <c r="G89" s="90" t="b">
        <v>0</v>
      </c>
    </row>
    <row r="90" spans="1:7" ht="15">
      <c r="A90" s="87" t="s">
        <v>1850</v>
      </c>
      <c r="B90" s="90">
        <v>6</v>
      </c>
      <c r="C90" s="114">
        <v>0.003091202878170552</v>
      </c>
      <c r="D90" s="90" t="s">
        <v>2081</v>
      </c>
      <c r="E90" s="90" t="b">
        <v>0</v>
      </c>
      <c r="F90" s="90" t="b">
        <v>0</v>
      </c>
      <c r="G90" s="90" t="b">
        <v>0</v>
      </c>
    </row>
    <row r="91" spans="1:7" ht="15">
      <c r="A91" s="87" t="s">
        <v>1851</v>
      </c>
      <c r="B91" s="90">
        <v>6</v>
      </c>
      <c r="C91" s="114">
        <v>0.003091202878170552</v>
      </c>
      <c r="D91" s="90" t="s">
        <v>2081</v>
      </c>
      <c r="E91" s="90" t="b">
        <v>0</v>
      </c>
      <c r="F91" s="90" t="b">
        <v>0</v>
      </c>
      <c r="G91" s="90" t="b">
        <v>0</v>
      </c>
    </row>
    <row r="92" spans="1:7" ht="15">
      <c r="A92" s="87" t="s">
        <v>1478</v>
      </c>
      <c r="B92" s="90">
        <v>6</v>
      </c>
      <c r="C92" s="114">
        <v>0.003091202878170552</v>
      </c>
      <c r="D92" s="90" t="s">
        <v>2081</v>
      </c>
      <c r="E92" s="90" t="b">
        <v>0</v>
      </c>
      <c r="F92" s="90" t="b">
        <v>0</v>
      </c>
      <c r="G92" s="90" t="b">
        <v>0</v>
      </c>
    </row>
    <row r="93" spans="1:7" ht="15">
      <c r="A93" s="87" t="s">
        <v>1852</v>
      </c>
      <c r="B93" s="90">
        <v>6</v>
      </c>
      <c r="C93" s="114">
        <v>0.003091202878170552</v>
      </c>
      <c r="D93" s="90" t="s">
        <v>2081</v>
      </c>
      <c r="E93" s="90" t="b">
        <v>0</v>
      </c>
      <c r="F93" s="90" t="b">
        <v>0</v>
      </c>
      <c r="G93" s="90" t="b">
        <v>0</v>
      </c>
    </row>
    <row r="94" spans="1:7" ht="15">
      <c r="A94" s="87" t="s">
        <v>1853</v>
      </c>
      <c r="B94" s="90">
        <v>6</v>
      </c>
      <c r="C94" s="114">
        <v>0.003091202878170552</v>
      </c>
      <c r="D94" s="90" t="s">
        <v>2081</v>
      </c>
      <c r="E94" s="90" t="b">
        <v>0</v>
      </c>
      <c r="F94" s="90" t="b">
        <v>0</v>
      </c>
      <c r="G94" s="90" t="b">
        <v>0</v>
      </c>
    </row>
    <row r="95" spans="1:7" ht="15">
      <c r="A95" s="87" t="s">
        <v>1854</v>
      </c>
      <c r="B95" s="90">
        <v>6</v>
      </c>
      <c r="C95" s="114">
        <v>0.003091202878170552</v>
      </c>
      <c r="D95" s="90" t="s">
        <v>2081</v>
      </c>
      <c r="E95" s="90" t="b">
        <v>0</v>
      </c>
      <c r="F95" s="90" t="b">
        <v>0</v>
      </c>
      <c r="G95" s="90" t="b">
        <v>0</v>
      </c>
    </row>
    <row r="96" spans="1:7" ht="15">
      <c r="A96" s="87" t="s">
        <v>1855</v>
      </c>
      <c r="B96" s="90">
        <v>6</v>
      </c>
      <c r="C96" s="114">
        <v>0.003249935746959643</v>
      </c>
      <c r="D96" s="90" t="s">
        <v>2081</v>
      </c>
      <c r="E96" s="90" t="b">
        <v>0</v>
      </c>
      <c r="F96" s="90" t="b">
        <v>0</v>
      </c>
      <c r="G96" s="90" t="b">
        <v>0</v>
      </c>
    </row>
    <row r="97" spans="1:7" ht="15">
      <c r="A97" s="87" t="s">
        <v>1856</v>
      </c>
      <c r="B97" s="90">
        <v>6</v>
      </c>
      <c r="C97" s="114">
        <v>0.003091202878170552</v>
      </c>
      <c r="D97" s="90" t="s">
        <v>2081</v>
      </c>
      <c r="E97" s="90" t="b">
        <v>0</v>
      </c>
      <c r="F97" s="90" t="b">
        <v>0</v>
      </c>
      <c r="G97" s="90" t="b">
        <v>0</v>
      </c>
    </row>
    <row r="98" spans="1:7" ht="15">
      <c r="A98" s="87" t="s">
        <v>1519</v>
      </c>
      <c r="B98" s="90">
        <v>6</v>
      </c>
      <c r="C98" s="114">
        <v>0.003091202878170552</v>
      </c>
      <c r="D98" s="90" t="s">
        <v>2081</v>
      </c>
      <c r="E98" s="90" t="b">
        <v>0</v>
      </c>
      <c r="F98" s="90" t="b">
        <v>0</v>
      </c>
      <c r="G98" s="90" t="b">
        <v>0</v>
      </c>
    </row>
    <row r="99" spans="1:7" ht="15">
      <c r="A99" s="87" t="s">
        <v>1857</v>
      </c>
      <c r="B99" s="90">
        <v>5</v>
      </c>
      <c r="C99" s="114">
        <v>0.002708279789133036</v>
      </c>
      <c r="D99" s="90" t="s">
        <v>2081</v>
      </c>
      <c r="E99" s="90" t="b">
        <v>0</v>
      </c>
      <c r="F99" s="90" t="b">
        <v>0</v>
      </c>
      <c r="G99" s="90" t="b">
        <v>0</v>
      </c>
    </row>
    <row r="100" spans="1:7" ht="15">
      <c r="A100" s="87" t="s">
        <v>1858</v>
      </c>
      <c r="B100" s="90">
        <v>5</v>
      </c>
      <c r="C100" s="114">
        <v>0.002708279789133036</v>
      </c>
      <c r="D100" s="90" t="s">
        <v>2081</v>
      </c>
      <c r="E100" s="90" t="b">
        <v>0</v>
      </c>
      <c r="F100" s="90" t="b">
        <v>0</v>
      </c>
      <c r="G100" s="90" t="b">
        <v>0</v>
      </c>
    </row>
    <row r="101" spans="1:7" ht="15">
      <c r="A101" s="87" t="s">
        <v>1859</v>
      </c>
      <c r="B101" s="90">
        <v>5</v>
      </c>
      <c r="C101" s="114">
        <v>0.002708279789133036</v>
      </c>
      <c r="D101" s="90" t="s">
        <v>2081</v>
      </c>
      <c r="E101" s="90" t="b">
        <v>0</v>
      </c>
      <c r="F101" s="90" t="b">
        <v>0</v>
      </c>
      <c r="G101" s="90" t="b">
        <v>0</v>
      </c>
    </row>
    <row r="102" spans="1:7" ht="15">
      <c r="A102" s="87" t="s">
        <v>1860</v>
      </c>
      <c r="B102" s="90">
        <v>5</v>
      </c>
      <c r="C102" s="114">
        <v>0.002708279789133036</v>
      </c>
      <c r="D102" s="90" t="s">
        <v>2081</v>
      </c>
      <c r="E102" s="90" t="b">
        <v>0</v>
      </c>
      <c r="F102" s="90" t="b">
        <v>0</v>
      </c>
      <c r="G102" s="90" t="b">
        <v>0</v>
      </c>
    </row>
    <row r="103" spans="1:7" ht="15">
      <c r="A103" s="87" t="s">
        <v>1861</v>
      </c>
      <c r="B103" s="90">
        <v>5</v>
      </c>
      <c r="C103" s="114">
        <v>0.002708279789133036</v>
      </c>
      <c r="D103" s="90" t="s">
        <v>2081</v>
      </c>
      <c r="E103" s="90" t="b">
        <v>0</v>
      </c>
      <c r="F103" s="90" t="b">
        <v>0</v>
      </c>
      <c r="G103" s="90" t="b">
        <v>0</v>
      </c>
    </row>
    <row r="104" spans="1:7" ht="15">
      <c r="A104" s="87" t="s">
        <v>1862</v>
      </c>
      <c r="B104" s="90">
        <v>5</v>
      </c>
      <c r="C104" s="114">
        <v>0.002708279789133036</v>
      </c>
      <c r="D104" s="90" t="s">
        <v>2081</v>
      </c>
      <c r="E104" s="90" t="b">
        <v>0</v>
      </c>
      <c r="F104" s="90" t="b">
        <v>0</v>
      </c>
      <c r="G104" s="90" t="b">
        <v>0</v>
      </c>
    </row>
    <row r="105" spans="1:7" ht="15">
      <c r="A105" s="87" t="s">
        <v>1863</v>
      </c>
      <c r="B105" s="90">
        <v>5</v>
      </c>
      <c r="C105" s="114">
        <v>0.002708279789133036</v>
      </c>
      <c r="D105" s="90" t="s">
        <v>2081</v>
      </c>
      <c r="E105" s="90" t="b">
        <v>0</v>
      </c>
      <c r="F105" s="90" t="b">
        <v>0</v>
      </c>
      <c r="G105" s="90" t="b">
        <v>0</v>
      </c>
    </row>
    <row r="106" spans="1:7" ht="15">
      <c r="A106" s="87" t="s">
        <v>1864</v>
      </c>
      <c r="B106" s="90">
        <v>5</v>
      </c>
      <c r="C106" s="114">
        <v>0.002708279789133036</v>
      </c>
      <c r="D106" s="90" t="s">
        <v>2081</v>
      </c>
      <c r="E106" s="90" t="b">
        <v>0</v>
      </c>
      <c r="F106" s="90" t="b">
        <v>0</v>
      </c>
      <c r="G106" s="90" t="b">
        <v>0</v>
      </c>
    </row>
    <row r="107" spans="1:7" ht="15">
      <c r="A107" s="87" t="s">
        <v>1865</v>
      </c>
      <c r="B107" s="90">
        <v>5</v>
      </c>
      <c r="C107" s="114">
        <v>0.002708279789133036</v>
      </c>
      <c r="D107" s="90" t="s">
        <v>2081</v>
      </c>
      <c r="E107" s="90" t="b">
        <v>0</v>
      </c>
      <c r="F107" s="90" t="b">
        <v>0</v>
      </c>
      <c r="G107" s="90" t="b">
        <v>0</v>
      </c>
    </row>
    <row r="108" spans="1:7" ht="15">
      <c r="A108" s="87" t="s">
        <v>1866</v>
      </c>
      <c r="B108" s="90">
        <v>5</v>
      </c>
      <c r="C108" s="114">
        <v>0.002708279789133036</v>
      </c>
      <c r="D108" s="90" t="s">
        <v>2081</v>
      </c>
      <c r="E108" s="90" t="b">
        <v>0</v>
      </c>
      <c r="F108" s="90" t="b">
        <v>0</v>
      </c>
      <c r="G108" s="90" t="b">
        <v>0</v>
      </c>
    </row>
    <row r="109" spans="1:7" ht="15">
      <c r="A109" s="87" t="s">
        <v>310</v>
      </c>
      <c r="B109" s="90">
        <v>5</v>
      </c>
      <c r="C109" s="114">
        <v>0.002708279789133036</v>
      </c>
      <c r="D109" s="90" t="s">
        <v>2081</v>
      </c>
      <c r="E109" s="90" t="b">
        <v>0</v>
      </c>
      <c r="F109" s="90" t="b">
        <v>0</v>
      </c>
      <c r="G109" s="90" t="b">
        <v>0</v>
      </c>
    </row>
    <row r="110" spans="1:7" ht="15">
      <c r="A110" s="87" t="s">
        <v>1867</v>
      </c>
      <c r="B110" s="90">
        <v>4</v>
      </c>
      <c r="C110" s="114">
        <v>0.0024631139744622672</v>
      </c>
      <c r="D110" s="90" t="s">
        <v>2081</v>
      </c>
      <c r="E110" s="90" t="b">
        <v>0</v>
      </c>
      <c r="F110" s="90" t="b">
        <v>0</v>
      </c>
      <c r="G110" s="90" t="b">
        <v>0</v>
      </c>
    </row>
    <row r="111" spans="1:7" ht="15">
      <c r="A111" s="87" t="s">
        <v>1868</v>
      </c>
      <c r="B111" s="90">
        <v>4</v>
      </c>
      <c r="C111" s="114">
        <v>0.002296139384942321</v>
      </c>
      <c r="D111" s="90" t="s">
        <v>2081</v>
      </c>
      <c r="E111" s="90" t="b">
        <v>1</v>
      </c>
      <c r="F111" s="90" t="b">
        <v>0</v>
      </c>
      <c r="G111" s="90" t="b">
        <v>0</v>
      </c>
    </row>
    <row r="112" spans="1:7" ht="15">
      <c r="A112" s="87" t="s">
        <v>1869</v>
      </c>
      <c r="B112" s="90">
        <v>4</v>
      </c>
      <c r="C112" s="114">
        <v>0.002296139384942321</v>
      </c>
      <c r="D112" s="90" t="s">
        <v>2081</v>
      </c>
      <c r="E112" s="90" t="b">
        <v>0</v>
      </c>
      <c r="F112" s="90" t="b">
        <v>0</v>
      </c>
      <c r="G112" s="90" t="b">
        <v>0</v>
      </c>
    </row>
    <row r="113" spans="1:7" ht="15">
      <c r="A113" s="87" t="s">
        <v>1870</v>
      </c>
      <c r="B113" s="90">
        <v>4</v>
      </c>
      <c r="C113" s="114">
        <v>0.002296139384942321</v>
      </c>
      <c r="D113" s="90" t="s">
        <v>2081</v>
      </c>
      <c r="E113" s="90" t="b">
        <v>0</v>
      </c>
      <c r="F113" s="90" t="b">
        <v>0</v>
      </c>
      <c r="G113" s="90" t="b">
        <v>0</v>
      </c>
    </row>
    <row r="114" spans="1:7" ht="15">
      <c r="A114" s="87" t="s">
        <v>1871</v>
      </c>
      <c r="B114" s="90">
        <v>4</v>
      </c>
      <c r="C114" s="114">
        <v>0.002296139384942321</v>
      </c>
      <c r="D114" s="90" t="s">
        <v>2081</v>
      </c>
      <c r="E114" s="90" t="b">
        <v>0</v>
      </c>
      <c r="F114" s="90" t="b">
        <v>0</v>
      </c>
      <c r="G114" s="90" t="b">
        <v>0</v>
      </c>
    </row>
    <row r="115" spans="1:7" ht="15">
      <c r="A115" s="87" t="s">
        <v>1872</v>
      </c>
      <c r="B115" s="90">
        <v>4</v>
      </c>
      <c r="C115" s="114">
        <v>0.002296139384942321</v>
      </c>
      <c r="D115" s="90" t="s">
        <v>2081</v>
      </c>
      <c r="E115" s="90" t="b">
        <v>0</v>
      </c>
      <c r="F115" s="90" t="b">
        <v>0</v>
      </c>
      <c r="G115" s="90" t="b">
        <v>0</v>
      </c>
    </row>
    <row r="116" spans="1:7" ht="15">
      <c r="A116" s="87" t="s">
        <v>1873</v>
      </c>
      <c r="B116" s="90">
        <v>4</v>
      </c>
      <c r="C116" s="114">
        <v>0.002296139384942321</v>
      </c>
      <c r="D116" s="90" t="s">
        <v>2081</v>
      </c>
      <c r="E116" s="90" t="b">
        <v>0</v>
      </c>
      <c r="F116" s="90" t="b">
        <v>0</v>
      </c>
      <c r="G116" s="90" t="b">
        <v>0</v>
      </c>
    </row>
    <row r="117" spans="1:7" ht="15">
      <c r="A117" s="87" t="s">
        <v>1874</v>
      </c>
      <c r="B117" s="90">
        <v>4</v>
      </c>
      <c r="C117" s="114">
        <v>0.002296139384942321</v>
      </c>
      <c r="D117" s="90" t="s">
        <v>2081</v>
      </c>
      <c r="E117" s="90" t="b">
        <v>0</v>
      </c>
      <c r="F117" s="90" t="b">
        <v>0</v>
      </c>
      <c r="G117" s="90" t="b">
        <v>0</v>
      </c>
    </row>
    <row r="118" spans="1:7" ht="15">
      <c r="A118" s="87" t="s">
        <v>1875</v>
      </c>
      <c r="B118" s="90">
        <v>4</v>
      </c>
      <c r="C118" s="114">
        <v>0.002296139384942321</v>
      </c>
      <c r="D118" s="90" t="s">
        <v>2081</v>
      </c>
      <c r="E118" s="90" t="b">
        <v>0</v>
      </c>
      <c r="F118" s="90" t="b">
        <v>0</v>
      </c>
      <c r="G118" s="90" t="b">
        <v>0</v>
      </c>
    </row>
    <row r="119" spans="1:7" ht="15">
      <c r="A119" s="87" t="s">
        <v>1876</v>
      </c>
      <c r="B119" s="90">
        <v>4</v>
      </c>
      <c r="C119" s="114">
        <v>0.002296139384942321</v>
      </c>
      <c r="D119" s="90" t="s">
        <v>2081</v>
      </c>
      <c r="E119" s="90" t="b">
        <v>0</v>
      </c>
      <c r="F119" s="90" t="b">
        <v>0</v>
      </c>
      <c r="G119" s="90" t="b">
        <v>0</v>
      </c>
    </row>
    <row r="120" spans="1:7" ht="15">
      <c r="A120" s="87" t="s">
        <v>1877</v>
      </c>
      <c r="B120" s="90">
        <v>4</v>
      </c>
      <c r="C120" s="114">
        <v>0.002296139384942321</v>
      </c>
      <c r="D120" s="90" t="s">
        <v>2081</v>
      </c>
      <c r="E120" s="90" t="b">
        <v>0</v>
      </c>
      <c r="F120" s="90" t="b">
        <v>0</v>
      </c>
      <c r="G120" s="90" t="b">
        <v>0</v>
      </c>
    </row>
    <row r="121" spans="1:7" ht="15">
      <c r="A121" s="87" t="s">
        <v>1878</v>
      </c>
      <c r="B121" s="90">
        <v>4</v>
      </c>
      <c r="C121" s="114">
        <v>0.002296139384942321</v>
      </c>
      <c r="D121" s="90" t="s">
        <v>2081</v>
      </c>
      <c r="E121" s="90" t="b">
        <v>0</v>
      </c>
      <c r="F121" s="90" t="b">
        <v>0</v>
      </c>
      <c r="G121" s="90" t="b">
        <v>0</v>
      </c>
    </row>
    <row r="122" spans="1:7" ht="15">
      <c r="A122" s="87" t="s">
        <v>1879</v>
      </c>
      <c r="B122" s="90">
        <v>4</v>
      </c>
      <c r="C122" s="114">
        <v>0.002296139384942321</v>
      </c>
      <c r="D122" s="90" t="s">
        <v>2081</v>
      </c>
      <c r="E122" s="90" t="b">
        <v>0</v>
      </c>
      <c r="F122" s="90" t="b">
        <v>0</v>
      </c>
      <c r="G122" s="90" t="b">
        <v>0</v>
      </c>
    </row>
    <row r="123" spans="1:7" ht="15">
      <c r="A123" s="87" t="s">
        <v>321</v>
      </c>
      <c r="B123" s="90">
        <v>4</v>
      </c>
      <c r="C123" s="114">
        <v>0.002296139384942321</v>
      </c>
      <c r="D123" s="90" t="s">
        <v>2081</v>
      </c>
      <c r="E123" s="90" t="b">
        <v>0</v>
      </c>
      <c r="F123" s="90" t="b">
        <v>0</v>
      </c>
      <c r="G123" s="90" t="b">
        <v>0</v>
      </c>
    </row>
    <row r="124" spans="1:7" ht="15">
      <c r="A124" s="87" t="s">
        <v>1880</v>
      </c>
      <c r="B124" s="90">
        <v>4</v>
      </c>
      <c r="C124" s="114">
        <v>0.002296139384942321</v>
      </c>
      <c r="D124" s="90" t="s">
        <v>2081</v>
      </c>
      <c r="E124" s="90" t="b">
        <v>0</v>
      </c>
      <c r="F124" s="90" t="b">
        <v>0</v>
      </c>
      <c r="G124" s="90" t="b">
        <v>0</v>
      </c>
    </row>
    <row r="125" spans="1:7" ht="15">
      <c r="A125" s="87" t="s">
        <v>1881</v>
      </c>
      <c r="B125" s="90">
        <v>4</v>
      </c>
      <c r="C125" s="114">
        <v>0.002296139384942321</v>
      </c>
      <c r="D125" s="90" t="s">
        <v>2081</v>
      </c>
      <c r="E125" s="90" t="b">
        <v>0</v>
      </c>
      <c r="F125" s="90" t="b">
        <v>0</v>
      </c>
      <c r="G125" s="90" t="b">
        <v>0</v>
      </c>
    </row>
    <row r="126" spans="1:7" ht="15">
      <c r="A126" s="87" t="s">
        <v>1882</v>
      </c>
      <c r="B126" s="90">
        <v>4</v>
      </c>
      <c r="C126" s="114">
        <v>0.002296139384942321</v>
      </c>
      <c r="D126" s="90" t="s">
        <v>2081</v>
      </c>
      <c r="E126" s="90" t="b">
        <v>0</v>
      </c>
      <c r="F126" s="90" t="b">
        <v>0</v>
      </c>
      <c r="G126" s="90" t="b">
        <v>0</v>
      </c>
    </row>
    <row r="127" spans="1:7" ht="15">
      <c r="A127" s="87" t="s">
        <v>1883</v>
      </c>
      <c r="B127" s="90">
        <v>4</v>
      </c>
      <c r="C127" s="114">
        <v>0.0024631139744622672</v>
      </c>
      <c r="D127" s="90" t="s">
        <v>2081</v>
      </c>
      <c r="E127" s="90" t="b">
        <v>0</v>
      </c>
      <c r="F127" s="90" t="b">
        <v>0</v>
      </c>
      <c r="G127" s="90" t="b">
        <v>0</v>
      </c>
    </row>
    <row r="128" spans="1:7" ht="15">
      <c r="A128" s="87" t="s">
        <v>1884</v>
      </c>
      <c r="B128" s="90">
        <v>4</v>
      </c>
      <c r="C128" s="114">
        <v>0.0026984514406242204</v>
      </c>
      <c r="D128" s="90" t="s">
        <v>2081</v>
      </c>
      <c r="E128" s="90" t="b">
        <v>0</v>
      </c>
      <c r="F128" s="90" t="b">
        <v>0</v>
      </c>
      <c r="G128" s="90" t="b">
        <v>0</v>
      </c>
    </row>
    <row r="129" spans="1:7" ht="15">
      <c r="A129" s="87" t="s">
        <v>1520</v>
      </c>
      <c r="B129" s="90">
        <v>4</v>
      </c>
      <c r="C129" s="114">
        <v>0.002296139384942321</v>
      </c>
      <c r="D129" s="90" t="s">
        <v>2081</v>
      </c>
      <c r="E129" s="90" t="b">
        <v>0</v>
      </c>
      <c r="F129" s="90" t="b">
        <v>0</v>
      </c>
      <c r="G129" s="90" t="b">
        <v>0</v>
      </c>
    </row>
    <row r="130" spans="1:7" ht="15">
      <c r="A130" s="87" t="s">
        <v>1521</v>
      </c>
      <c r="B130" s="90">
        <v>4</v>
      </c>
      <c r="C130" s="114">
        <v>0.002296139384942321</v>
      </c>
      <c r="D130" s="90" t="s">
        <v>2081</v>
      </c>
      <c r="E130" s="90" t="b">
        <v>0</v>
      </c>
      <c r="F130" s="90" t="b">
        <v>0</v>
      </c>
      <c r="G130" s="90" t="b">
        <v>0</v>
      </c>
    </row>
    <row r="131" spans="1:7" ht="15">
      <c r="A131" s="87" t="s">
        <v>1523</v>
      </c>
      <c r="B131" s="90">
        <v>4</v>
      </c>
      <c r="C131" s="114">
        <v>0.002296139384942321</v>
      </c>
      <c r="D131" s="90" t="s">
        <v>2081</v>
      </c>
      <c r="E131" s="90" t="b">
        <v>0</v>
      </c>
      <c r="F131" s="90" t="b">
        <v>0</v>
      </c>
      <c r="G131" s="90" t="b">
        <v>0</v>
      </c>
    </row>
    <row r="132" spans="1:7" ht="15">
      <c r="A132" s="87" t="s">
        <v>265</v>
      </c>
      <c r="B132" s="90">
        <v>4</v>
      </c>
      <c r="C132" s="114">
        <v>0.002296139384942321</v>
      </c>
      <c r="D132" s="90" t="s">
        <v>2081</v>
      </c>
      <c r="E132" s="90" t="b">
        <v>0</v>
      </c>
      <c r="F132" s="90" t="b">
        <v>0</v>
      </c>
      <c r="G132" s="90" t="b">
        <v>0</v>
      </c>
    </row>
    <row r="133" spans="1:7" ht="15">
      <c r="A133" s="87" t="s">
        <v>1885</v>
      </c>
      <c r="B133" s="90">
        <v>3</v>
      </c>
      <c r="C133" s="114">
        <v>0.0018473354808467004</v>
      </c>
      <c r="D133" s="90" t="s">
        <v>2081</v>
      </c>
      <c r="E133" s="90" t="b">
        <v>0</v>
      </c>
      <c r="F133" s="90" t="b">
        <v>0</v>
      </c>
      <c r="G133" s="90" t="b">
        <v>0</v>
      </c>
    </row>
    <row r="134" spans="1:7" ht="15">
      <c r="A134" s="87" t="s">
        <v>1886</v>
      </c>
      <c r="B134" s="90">
        <v>3</v>
      </c>
      <c r="C134" s="114">
        <v>0.0018473354808467004</v>
      </c>
      <c r="D134" s="90" t="s">
        <v>2081</v>
      </c>
      <c r="E134" s="90" t="b">
        <v>0</v>
      </c>
      <c r="F134" s="90" t="b">
        <v>0</v>
      </c>
      <c r="G134" s="90" t="b">
        <v>0</v>
      </c>
    </row>
    <row r="135" spans="1:7" ht="15">
      <c r="A135" s="87" t="s">
        <v>1887</v>
      </c>
      <c r="B135" s="90">
        <v>3</v>
      </c>
      <c r="C135" s="114">
        <v>0.0018473354808467004</v>
      </c>
      <c r="D135" s="90" t="s">
        <v>2081</v>
      </c>
      <c r="E135" s="90" t="b">
        <v>0</v>
      </c>
      <c r="F135" s="90" t="b">
        <v>0</v>
      </c>
      <c r="G135" s="90" t="b">
        <v>0</v>
      </c>
    </row>
    <row r="136" spans="1:7" ht="15">
      <c r="A136" s="87" t="s">
        <v>1888</v>
      </c>
      <c r="B136" s="90">
        <v>3</v>
      </c>
      <c r="C136" s="114">
        <v>0.0018473354808467004</v>
      </c>
      <c r="D136" s="90" t="s">
        <v>2081</v>
      </c>
      <c r="E136" s="90" t="b">
        <v>0</v>
      </c>
      <c r="F136" s="90" t="b">
        <v>0</v>
      </c>
      <c r="G136" s="90" t="b">
        <v>0</v>
      </c>
    </row>
    <row r="137" spans="1:7" ht="15">
      <c r="A137" s="87" t="s">
        <v>1889</v>
      </c>
      <c r="B137" s="90">
        <v>3</v>
      </c>
      <c r="C137" s="114">
        <v>0.0018473354808467004</v>
      </c>
      <c r="D137" s="90" t="s">
        <v>2081</v>
      </c>
      <c r="E137" s="90" t="b">
        <v>0</v>
      </c>
      <c r="F137" s="90" t="b">
        <v>0</v>
      </c>
      <c r="G137" s="90" t="b">
        <v>0</v>
      </c>
    </row>
    <row r="138" spans="1:7" ht="15">
      <c r="A138" s="87" t="s">
        <v>1890</v>
      </c>
      <c r="B138" s="90">
        <v>3</v>
      </c>
      <c r="C138" s="114">
        <v>0.0018473354808467004</v>
      </c>
      <c r="D138" s="90" t="s">
        <v>2081</v>
      </c>
      <c r="E138" s="90" t="b">
        <v>0</v>
      </c>
      <c r="F138" s="90" t="b">
        <v>0</v>
      </c>
      <c r="G138" s="90" t="b">
        <v>0</v>
      </c>
    </row>
    <row r="139" spans="1:7" ht="15">
      <c r="A139" s="87" t="s">
        <v>1891</v>
      </c>
      <c r="B139" s="90">
        <v>3</v>
      </c>
      <c r="C139" s="114">
        <v>0.0018473354808467004</v>
      </c>
      <c r="D139" s="90" t="s">
        <v>2081</v>
      </c>
      <c r="E139" s="90" t="b">
        <v>0</v>
      </c>
      <c r="F139" s="90" t="b">
        <v>0</v>
      </c>
      <c r="G139" s="90" t="b">
        <v>0</v>
      </c>
    </row>
    <row r="140" spans="1:7" ht="15">
      <c r="A140" s="87" t="s">
        <v>1892</v>
      </c>
      <c r="B140" s="90">
        <v>3</v>
      </c>
      <c r="C140" s="114">
        <v>0.0018473354808467004</v>
      </c>
      <c r="D140" s="90" t="s">
        <v>2081</v>
      </c>
      <c r="E140" s="90" t="b">
        <v>0</v>
      </c>
      <c r="F140" s="90" t="b">
        <v>0</v>
      </c>
      <c r="G140" s="90" t="b">
        <v>0</v>
      </c>
    </row>
    <row r="141" spans="1:7" ht="15">
      <c r="A141" s="87" t="s">
        <v>1893</v>
      </c>
      <c r="B141" s="90">
        <v>3</v>
      </c>
      <c r="C141" s="114">
        <v>0.0018473354808467004</v>
      </c>
      <c r="D141" s="90" t="s">
        <v>2081</v>
      </c>
      <c r="E141" s="90" t="b">
        <v>0</v>
      </c>
      <c r="F141" s="90" t="b">
        <v>1</v>
      </c>
      <c r="G141" s="90" t="b">
        <v>0</v>
      </c>
    </row>
    <row r="142" spans="1:7" ht="15">
      <c r="A142" s="87" t="s">
        <v>1894</v>
      </c>
      <c r="B142" s="90">
        <v>3</v>
      </c>
      <c r="C142" s="114">
        <v>0.0018473354808467004</v>
      </c>
      <c r="D142" s="90" t="s">
        <v>2081</v>
      </c>
      <c r="E142" s="90" t="b">
        <v>0</v>
      </c>
      <c r="F142" s="90" t="b">
        <v>0</v>
      </c>
      <c r="G142" s="90" t="b">
        <v>0</v>
      </c>
    </row>
    <row r="143" spans="1:7" ht="15">
      <c r="A143" s="87" t="s">
        <v>1895</v>
      </c>
      <c r="B143" s="90">
        <v>3</v>
      </c>
      <c r="C143" s="114">
        <v>0.0018473354808467004</v>
      </c>
      <c r="D143" s="90" t="s">
        <v>2081</v>
      </c>
      <c r="E143" s="90" t="b">
        <v>0</v>
      </c>
      <c r="F143" s="90" t="b">
        <v>0</v>
      </c>
      <c r="G143" s="90" t="b">
        <v>0</v>
      </c>
    </row>
    <row r="144" spans="1:7" ht="15">
      <c r="A144" s="87" t="s">
        <v>1896</v>
      </c>
      <c r="B144" s="90">
        <v>3</v>
      </c>
      <c r="C144" s="114">
        <v>0.0018473354808467004</v>
      </c>
      <c r="D144" s="90" t="s">
        <v>2081</v>
      </c>
      <c r="E144" s="90" t="b">
        <v>0</v>
      </c>
      <c r="F144" s="90" t="b">
        <v>0</v>
      </c>
      <c r="G144" s="90" t="b">
        <v>0</v>
      </c>
    </row>
    <row r="145" spans="1:7" ht="15">
      <c r="A145" s="87" t="s">
        <v>1897</v>
      </c>
      <c r="B145" s="90">
        <v>3</v>
      </c>
      <c r="C145" s="114">
        <v>0.0018473354808467004</v>
      </c>
      <c r="D145" s="90" t="s">
        <v>2081</v>
      </c>
      <c r="E145" s="90" t="b">
        <v>0</v>
      </c>
      <c r="F145" s="90" t="b">
        <v>0</v>
      </c>
      <c r="G145" s="90" t="b">
        <v>0</v>
      </c>
    </row>
    <row r="146" spans="1:7" ht="15">
      <c r="A146" s="87" t="s">
        <v>1898</v>
      </c>
      <c r="B146" s="90">
        <v>3</v>
      </c>
      <c r="C146" s="114">
        <v>0.0018473354808467004</v>
      </c>
      <c r="D146" s="90" t="s">
        <v>2081</v>
      </c>
      <c r="E146" s="90" t="b">
        <v>0</v>
      </c>
      <c r="F146" s="90" t="b">
        <v>0</v>
      </c>
      <c r="G146" s="90" t="b">
        <v>0</v>
      </c>
    </row>
    <row r="147" spans="1:7" ht="15">
      <c r="A147" s="87" t="s">
        <v>1899</v>
      </c>
      <c r="B147" s="90">
        <v>3</v>
      </c>
      <c r="C147" s="114">
        <v>0.0018473354808467004</v>
      </c>
      <c r="D147" s="90" t="s">
        <v>2081</v>
      </c>
      <c r="E147" s="90" t="b">
        <v>0</v>
      </c>
      <c r="F147" s="90" t="b">
        <v>0</v>
      </c>
      <c r="G147" s="90" t="b">
        <v>0</v>
      </c>
    </row>
    <row r="148" spans="1:7" ht="15">
      <c r="A148" s="87" t="s">
        <v>1900</v>
      </c>
      <c r="B148" s="90">
        <v>3</v>
      </c>
      <c r="C148" s="114">
        <v>0.0018473354808467004</v>
      </c>
      <c r="D148" s="90" t="s">
        <v>2081</v>
      </c>
      <c r="E148" s="90" t="b">
        <v>0</v>
      </c>
      <c r="F148" s="90" t="b">
        <v>0</v>
      </c>
      <c r="G148" s="90" t="b">
        <v>0</v>
      </c>
    </row>
    <row r="149" spans="1:7" ht="15">
      <c r="A149" s="87" t="s">
        <v>1901</v>
      </c>
      <c r="B149" s="90">
        <v>3</v>
      </c>
      <c r="C149" s="114">
        <v>0.0018473354808467004</v>
      </c>
      <c r="D149" s="90" t="s">
        <v>2081</v>
      </c>
      <c r="E149" s="90" t="b">
        <v>0</v>
      </c>
      <c r="F149" s="90" t="b">
        <v>0</v>
      </c>
      <c r="G149" s="90" t="b">
        <v>0</v>
      </c>
    </row>
    <row r="150" spans="1:7" ht="15">
      <c r="A150" s="87" t="s">
        <v>1902</v>
      </c>
      <c r="B150" s="90">
        <v>3</v>
      </c>
      <c r="C150" s="114">
        <v>0.0018473354808467004</v>
      </c>
      <c r="D150" s="90" t="s">
        <v>2081</v>
      </c>
      <c r="E150" s="90" t="b">
        <v>0</v>
      </c>
      <c r="F150" s="90" t="b">
        <v>0</v>
      </c>
      <c r="G150" s="90" t="b">
        <v>0</v>
      </c>
    </row>
    <row r="151" spans="1:7" ht="15">
      <c r="A151" s="87" t="s">
        <v>1903</v>
      </c>
      <c r="B151" s="90">
        <v>3</v>
      </c>
      <c r="C151" s="114">
        <v>0.0018473354808467004</v>
      </c>
      <c r="D151" s="90" t="s">
        <v>2081</v>
      </c>
      <c r="E151" s="90" t="b">
        <v>0</v>
      </c>
      <c r="F151" s="90" t="b">
        <v>0</v>
      </c>
      <c r="G151" s="90" t="b">
        <v>0</v>
      </c>
    </row>
    <row r="152" spans="1:7" ht="15">
      <c r="A152" s="87" t="s">
        <v>1904</v>
      </c>
      <c r="B152" s="90">
        <v>3</v>
      </c>
      <c r="C152" s="114">
        <v>0.0018473354808467004</v>
      </c>
      <c r="D152" s="90" t="s">
        <v>2081</v>
      </c>
      <c r="E152" s="90" t="b">
        <v>0</v>
      </c>
      <c r="F152" s="90" t="b">
        <v>0</v>
      </c>
      <c r="G152" s="90" t="b">
        <v>0</v>
      </c>
    </row>
    <row r="153" spans="1:7" ht="15">
      <c r="A153" s="87" t="s">
        <v>1905</v>
      </c>
      <c r="B153" s="90">
        <v>3</v>
      </c>
      <c r="C153" s="114">
        <v>0.0018473354808467004</v>
      </c>
      <c r="D153" s="90" t="s">
        <v>2081</v>
      </c>
      <c r="E153" s="90" t="b">
        <v>0</v>
      </c>
      <c r="F153" s="90" t="b">
        <v>0</v>
      </c>
      <c r="G153" s="90" t="b">
        <v>0</v>
      </c>
    </row>
    <row r="154" spans="1:7" ht="15">
      <c r="A154" s="87" t="s">
        <v>1906</v>
      </c>
      <c r="B154" s="90">
        <v>3</v>
      </c>
      <c r="C154" s="114">
        <v>0.0018473354808467004</v>
      </c>
      <c r="D154" s="90" t="s">
        <v>2081</v>
      </c>
      <c r="E154" s="90" t="b">
        <v>0</v>
      </c>
      <c r="F154" s="90" t="b">
        <v>0</v>
      </c>
      <c r="G154" s="90" t="b">
        <v>0</v>
      </c>
    </row>
    <row r="155" spans="1:7" ht="15">
      <c r="A155" s="87" t="s">
        <v>1907</v>
      </c>
      <c r="B155" s="90">
        <v>3</v>
      </c>
      <c r="C155" s="114">
        <v>0.0018473354808467004</v>
      </c>
      <c r="D155" s="90" t="s">
        <v>2081</v>
      </c>
      <c r="E155" s="90" t="b">
        <v>0</v>
      </c>
      <c r="F155" s="90" t="b">
        <v>0</v>
      </c>
      <c r="G155" s="90" t="b">
        <v>0</v>
      </c>
    </row>
    <row r="156" spans="1:7" ht="15">
      <c r="A156" s="87" t="s">
        <v>1908</v>
      </c>
      <c r="B156" s="90">
        <v>3</v>
      </c>
      <c r="C156" s="114">
        <v>0.0018473354808467004</v>
      </c>
      <c r="D156" s="90" t="s">
        <v>2081</v>
      </c>
      <c r="E156" s="90" t="b">
        <v>0</v>
      </c>
      <c r="F156" s="90" t="b">
        <v>0</v>
      </c>
      <c r="G156" s="90" t="b">
        <v>0</v>
      </c>
    </row>
    <row r="157" spans="1:7" ht="15">
      <c r="A157" s="87" t="s">
        <v>1909</v>
      </c>
      <c r="B157" s="90">
        <v>3</v>
      </c>
      <c r="C157" s="114">
        <v>0.0018473354808467004</v>
      </c>
      <c r="D157" s="90" t="s">
        <v>2081</v>
      </c>
      <c r="E157" s="90" t="b">
        <v>0</v>
      </c>
      <c r="F157" s="90" t="b">
        <v>0</v>
      </c>
      <c r="G157" s="90" t="b">
        <v>0</v>
      </c>
    </row>
    <row r="158" spans="1:7" ht="15">
      <c r="A158" s="87" t="s">
        <v>1910</v>
      </c>
      <c r="B158" s="90">
        <v>3</v>
      </c>
      <c r="C158" s="114">
        <v>0.0018473354808467004</v>
      </c>
      <c r="D158" s="90" t="s">
        <v>2081</v>
      </c>
      <c r="E158" s="90" t="b">
        <v>0</v>
      </c>
      <c r="F158" s="90" t="b">
        <v>0</v>
      </c>
      <c r="G158" s="90" t="b">
        <v>0</v>
      </c>
    </row>
    <row r="159" spans="1:7" ht="15">
      <c r="A159" s="87" t="s">
        <v>1911</v>
      </c>
      <c r="B159" s="90">
        <v>3</v>
      </c>
      <c r="C159" s="114">
        <v>0.0020238385804681653</v>
      </c>
      <c r="D159" s="90" t="s">
        <v>2081</v>
      </c>
      <c r="E159" s="90" t="b">
        <v>0</v>
      </c>
      <c r="F159" s="90" t="b">
        <v>0</v>
      </c>
      <c r="G159" s="90" t="b">
        <v>0</v>
      </c>
    </row>
    <row r="160" spans="1:7" ht="15">
      <c r="A160" s="87" t="s">
        <v>1912</v>
      </c>
      <c r="B160" s="90">
        <v>3</v>
      </c>
      <c r="C160" s="114">
        <v>0.0018473354808467004</v>
      </c>
      <c r="D160" s="90" t="s">
        <v>2081</v>
      </c>
      <c r="E160" s="90" t="b">
        <v>0</v>
      </c>
      <c r="F160" s="90" t="b">
        <v>0</v>
      </c>
      <c r="G160" s="90" t="b">
        <v>0</v>
      </c>
    </row>
    <row r="161" spans="1:7" ht="15">
      <c r="A161" s="87" t="s">
        <v>320</v>
      </c>
      <c r="B161" s="90">
        <v>3</v>
      </c>
      <c r="C161" s="114">
        <v>0.0018473354808467004</v>
      </c>
      <c r="D161" s="90" t="s">
        <v>2081</v>
      </c>
      <c r="E161" s="90" t="b">
        <v>0</v>
      </c>
      <c r="F161" s="90" t="b">
        <v>0</v>
      </c>
      <c r="G161" s="90" t="b">
        <v>0</v>
      </c>
    </row>
    <row r="162" spans="1:7" ht="15">
      <c r="A162" s="87" t="s">
        <v>1513</v>
      </c>
      <c r="B162" s="90">
        <v>3</v>
      </c>
      <c r="C162" s="114">
        <v>0.0018473354808467004</v>
      </c>
      <c r="D162" s="90" t="s">
        <v>2081</v>
      </c>
      <c r="E162" s="90" t="b">
        <v>0</v>
      </c>
      <c r="F162" s="90" t="b">
        <v>0</v>
      </c>
      <c r="G162" s="90" t="b">
        <v>0</v>
      </c>
    </row>
    <row r="163" spans="1:7" ht="15">
      <c r="A163" s="87" t="s">
        <v>1529</v>
      </c>
      <c r="B163" s="90">
        <v>3</v>
      </c>
      <c r="C163" s="114">
        <v>0.0018473354808467004</v>
      </c>
      <c r="D163" s="90" t="s">
        <v>2081</v>
      </c>
      <c r="E163" s="90" t="b">
        <v>0</v>
      </c>
      <c r="F163" s="90" t="b">
        <v>0</v>
      </c>
      <c r="G163" s="90" t="b">
        <v>0</v>
      </c>
    </row>
    <row r="164" spans="1:7" ht="15">
      <c r="A164" s="87" t="s">
        <v>1530</v>
      </c>
      <c r="B164" s="90">
        <v>3</v>
      </c>
      <c r="C164" s="114">
        <v>0.0018473354808467004</v>
      </c>
      <c r="D164" s="90" t="s">
        <v>2081</v>
      </c>
      <c r="E164" s="90" t="b">
        <v>0</v>
      </c>
      <c r="F164" s="90" t="b">
        <v>0</v>
      </c>
      <c r="G164" s="90" t="b">
        <v>0</v>
      </c>
    </row>
    <row r="165" spans="1:7" ht="15">
      <c r="A165" s="87" t="s">
        <v>1531</v>
      </c>
      <c r="B165" s="90">
        <v>3</v>
      </c>
      <c r="C165" s="114">
        <v>0.0018473354808467004</v>
      </c>
      <c r="D165" s="90" t="s">
        <v>2081</v>
      </c>
      <c r="E165" s="90" t="b">
        <v>0</v>
      </c>
      <c r="F165" s="90" t="b">
        <v>0</v>
      </c>
      <c r="G165" s="90" t="b">
        <v>0</v>
      </c>
    </row>
    <row r="166" spans="1:7" ht="15">
      <c r="A166" s="87" t="s">
        <v>1532</v>
      </c>
      <c r="B166" s="90">
        <v>3</v>
      </c>
      <c r="C166" s="114">
        <v>0.0018473354808467004</v>
      </c>
      <c r="D166" s="90" t="s">
        <v>2081</v>
      </c>
      <c r="E166" s="90" t="b">
        <v>0</v>
      </c>
      <c r="F166" s="90" t="b">
        <v>0</v>
      </c>
      <c r="G166" s="90" t="b">
        <v>0</v>
      </c>
    </row>
    <row r="167" spans="1:7" ht="15">
      <c r="A167" s="87" t="s">
        <v>1534</v>
      </c>
      <c r="B167" s="90">
        <v>3</v>
      </c>
      <c r="C167" s="114">
        <v>0.0018473354808467004</v>
      </c>
      <c r="D167" s="90" t="s">
        <v>2081</v>
      </c>
      <c r="E167" s="90" t="b">
        <v>1</v>
      </c>
      <c r="F167" s="90" t="b">
        <v>0</v>
      </c>
      <c r="G167" s="90" t="b">
        <v>0</v>
      </c>
    </row>
    <row r="168" spans="1:7" ht="15">
      <c r="A168" s="87" t="s">
        <v>1535</v>
      </c>
      <c r="B168" s="90">
        <v>3</v>
      </c>
      <c r="C168" s="114">
        <v>0.0018473354808467004</v>
      </c>
      <c r="D168" s="90" t="s">
        <v>2081</v>
      </c>
      <c r="E168" s="90" t="b">
        <v>0</v>
      </c>
      <c r="F168" s="90" t="b">
        <v>1</v>
      </c>
      <c r="G168" s="90" t="b">
        <v>0</v>
      </c>
    </row>
    <row r="169" spans="1:7" ht="15">
      <c r="A169" s="87" t="s">
        <v>1913</v>
      </c>
      <c r="B169" s="90">
        <v>3</v>
      </c>
      <c r="C169" s="114">
        <v>0.0018473354808467004</v>
      </c>
      <c r="D169" s="90" t="s">
        <v>2081</v>
      </c>
      <c r="E169" s="90" t="b">
        <v>0</v>
      </c>
      <c r="F169" s="90" t="b">
        <v>0</v>
      </c>
      <c r="G169" s="90" t="b">
        <v>0</v>
      </c>
    </row>
    <row r="170" spans="1:7" ht="15">
      <c r="A170" s="87" t="s">
        <v>1914</v>
      </c>
      <c r="B170" s="90">
        <v>3</v>
      </c>
      <c r="C170" s="114">
        <v>0.0018473354808467004</v>
      </c>
      <c r="D170" s="90" t="s">
        <v>2081</v>
      </c>
      <c r="E170" s="90" t="b">
        <v>0</v>
      </c>
      <c r="F170" s="90" t="b">
        <v>0</v>
      </c>
      <c r="G170" s="90" t="b">
        <v>0</v>
      </c>
    </row>
    <row r="171" spans="1:7" ht="15">
      <c r="A171" s="87" t="s">
        <v>1915</v>
      </c>
      <c r="B171" s="90">
        <v>3</v>
      </c>
      <c r="C171" s="114">
        <v>0.0018473354808467004</v>
      </c>
      <c r="D171" s="90" t="s">
        <v>2081</v>
      </c>
      <c r="E171" s="90" t="b">
        <v>1</v>
      </c>
      <c r="F171" s="90" t="b">
        <v>0</v>
      </c>
      <c r="G171" s="90" t="b">
        <v>0</v>
      </c>
    </row>
    <row r="172" spans="1:7" ht="15">
      <c r="A172" s="87" t="s">
        <v>1916</v>
      </c>
      <c r="B172" s="90">
        <v>3</v>
      </c>
      <c r="C172" s="114">
        <v>0.0018473354808467004</v>
      </c>
      <c r="D172" s="90" t="s">
        <v>2081</v>
      </c>
      <c r="E172" s="90" t="b">
        <v>0</v>
      </c>
      <c r="F172" s="90" t="b">
        <v>0</v>
      </c>
      <c r="G172" s="90" t="b">
        <v>0</v>
      </c>
    </row>
    <row r="173" spans="1:7" ht="15">
      <c r="A173" s="87" t="s">
        <v>1917</v>
      </c>
      <c r="B173" s="90">
        <v>3</v>
      </c>
      <c r="C173" s="114">
        <v>0.0018473354808467004</v>
      </c>
      <c r="D173" s="90" t="s">
        <v>2081</v>
      </c>
      <c r="E173" s="90" t="b">
        <v>0</v>
      </c>
      <c r="F173" s="90" t="b">
        <v>0</v>
      </c>
      <c r="G173" s="90" t="b">
        <v>0</v>
      </c>
    </row>
    <row r="174" spans="1:7" ht="15">
      <c r="A174" s="87" t="s">
        <v>1918</v>
      </c>
      <c r="B174" s="90">
        <v>3</v>
      </c>
      <c r="C174" s="114">
        <v>0.0018473354808467004</v>
      </c>
      <c r="D174" s="90" t="s">
        <v>2081</v>
      </c>
      <c r="E174" s="90" t="b">
        <v>0</v>
      </c>
      <c r="F174" s="90" t="b">
        <v>0</v>
      </c>
      <c r="G174" s="90" t="b">
        <v>0</v>
      </c>
    </row>
    <row r="175" spans="1:7" ht="15">
      <c r="A175" s="87" t="s">
        <v>1919</v>
      </c>
      <c r="B175" s="90">
        <v>3</v>
      </c>
      <c r="C175" s="114">
        <v>0.0018473354808467004</v>
      </c>
      <c r="D175" s="90" t="s">
        <v>2081</v>
      </c>
      <c r="E175" s="90" t="b">
        <v>0</v>
      </c>
      <c r="F175" s="90" t="b">
        <v>0</v>
      </c>
      <c r="G175" s="90" t="b">
        <v>0</v>
      </c>
    </row>
    <row r="176" spans="1:7" ht="15">
      <c r="A176" s="87" t="s">
        <v>1920</v>
      </c>
      <c r="B176" s="90">
        <v>3</v>
      </c>
      <c r="C176" s="114">
        <v>0.0018473354808467004</v>
      </c>
      <c r="D176" s="90" t="s">
        <v>2081</v>
      </c>
      <c r="E176" s="90" t="b">
        <v>0</v>
      </c>
      <c r="F176" s="90" t="b">
        <v>0</v>
      </c>
      <c r="G176" s="90" t="b">
        <v>0</v>
      </c>
    </row>
    <row r="177" spans="1:7" ht="15">
      <c r="A177" s="87" t="s">
        <v>1921</v>
      </c>
      <c r="B177" s="90">
        <v>3</v>
      </c>
      <c r="C177" s="114">
        <v>0.0018473354808467004</v>
      </c>
      <c r="D177" s="90" t="s">
        <v>2081</v>
      </c>
      <c r="E177" s="90" t="b">
        <v>0</v>
      </c>
      <c r="F177" s="90" t="b">
        <v>0</v>
      </c>
      <c r="G177" s="90" t="b">
        <v>0</v>
      </c>
    </row>
    <row r="178" spans="1:7" ht="15">
      <c r="A178" s="87" t="s">
        <v>1922</v>
      </c>
      <c r="B178" s="90">
        <v>3</v>
      </c>
      <c r="C178" s="114">
        <v>0.0018473354808467004</v>
      </c>
      <c r="D178" s="90" t="s">
        <v>2081</v>
      </c>
      <c r="E178" s="90" t="b">
        <v>0</v>
      </c>
      <c r="F178" s="90" t="b">
        <v>0</v>
      </c>
      <c r="G178" s="90" t="b">
        <v>0</v>
      </c>
    </row>
    <row r="179" spans="1:7" ht="15">
      <c r="A179" s="87" t="s">
        <v>1923</v>
      </c>
      <c r="B179" s="90">
        <v>3</v>
      </c>
      <c r="C179" s="114">
        <v>0.0018473354808467004</v>
      </c>
      <c r="D179" s="90" t="s">
        <v>2081</v>
      </c>
      <c r="E179" s="90" t="b">
        <v>0</v>
      </c>
      <c r="F179" s="90" t="b">
        <v>0</v>
      </c>
      <c r="G179" s="90" t="b">
        <v>0</v>
      </c>
    </row>
    <row r="180" spans="1:7" ht="15">
      <c r="A180" s="87" t="s">
        <v>1924</v>
      </c>
      <c r="B180" s="90">
        <v>3</v>
      </c>
      <c r="C180" s="114">
        <v>0.0018473354808467004</v>
      </c>
      <c r="D180" s="90" t="s">
        <v>2081</v>
      </c>
      <c r="E180" s="90" t="b">
        <v>0</v>
      </c>
      <c r="F180" s="90" t="b">
        <v>0</v>
      </c>
      <c r="G180" s="90" t="b">
        <v>0</v>
      </c>
    </row>
    <row r="181" spans="1:7" ht="15">
      <c r="A181" s="87" t="s">
        <v>1925</v>
      </c>
      <c r="B181" s="90">
        <v>3</v>
      </c>
      <c r="C181" s="114">
        <v>0.0018473354808467004</v>
      </c>
      <c r="D181" s="90" t="s">
        <v>2081</v>
      </c>
      <c r="E181" s="90" t="b">
        <v>0</v>
      </c>
      <c r="F181" s="90" t="b">
        <v>0</v>
      </c>
      <c r="G181" s="90" t="b">
        <v>0</v>
      </c>
    </row>
    <row r="182" spans="1:7" ht="15">
      <c r="A182" s="87" t="s">
        <v>1926</v>
      </c>
      <c r="B182" s="90">
        <v>3</v>
      </c>
      <c r="C182" s="114">
        <v>0.0018473354808467004</v>
      </c>
      <c r="D182" s="90" t="s">
        <v>2081</v>
      </c>
      <c r="E182" s="90" t="b">
        <v>0</v>
      </c>
      <c r="F182" s="90" t="b">
        <v>0</v>
      </c>
      <c r="G182" s="90" t="b">
        <v>0</v>
      </c>
    </row>
    <row r="183" spans="1:7" ht="15">
      <c r="A183" s="87" t="s">
        <v>308</v>
      </c>
      <c r="B183" s="90">
        <v>3</v>
      </c>
      <c r="C183" s="114">
        <v>0.0018473354808467004</v>
      </c>
      <c r="D183" s="90" t="s">
        <v>2081</v>
      </c>
      <c r="E183" s="90" t="b">
        <v>0</v>
      </c>
      <c r="F183" s="90" t="b">
        <v>0</v>
      </c>
      <c r="G183" s="90" t="b">
        <v>0</v>
      </c>
    </row>
    <row r="184" spans="1:7" ht="15">
      <c r="A184" s="87" t="s">
        <v>1927</v>
      </c>
      <c r="B184" s="90">
        <v>3</v>
      </c>
      <c r="C184" s="114">
        <v>0.0018473354808467004</v>
      </c>
      <c r="D184" s="90" t="s">
        <v>2081</v>
      </c>
      <c r="E184" s="90" t="b">
        <v>0</v>
      </c>
      <c r="F184" s="90" t="b">
        <v>0</v>
      </c>
      <c r="G184" s="90" t="b">
        <v>0</v>
      </c>
    </row>
    <row r="185" spans="1:7" ht="15">
      <c r="A185" s="87" t="s">
        <v>1928</v>
      </c>
      <c r="B185" s="90">
        <v>3</v>
      </c>
      <c r="C185" s="114">
        <v>0.0018473354808467004</v>
      </c>
      <c r="D185" s="90" t="s">
        <v>2081</v>
      </c>
      <c r="E185" s="90" t="b">
        <v>0</v>
      </c>
      <c r="F185" s="90" t="b">
        <v>0</v>
      </c>
      <c r="G185" s="90" t="b">
        <v>0</v>
      </c>
    </row>
    <row r="186" spans="1:7" ht="15">
      <c r="A186" s="87" t="s">
        <v>1929</v>
      </c>
      <c r="B186" s="90">
        <v>3</v>
      </c>
      <c r="C186" s="114">
        <v>0.0018473354808467004</v>
      </c>
      <c r="D186" s="90" t="s">
        <v>2081</v>
      </c>
      <c r="E186" s="90" t="b">
        <v>0</v>
      </c>
      <c r="F186" s="90" t="b">
        <v>0</v>
      </c>
      <c r="G186" s="90" t="b">
        <v>0</v>
      </c>
    </row>
    <row r="187" spans="1:7" ht="15">
      <c r="A187" s="87" t="s">
        <v>1930</v>
      </c>
      <c r="B187" s="90">
        <v>2</v>
      </c>
      <c r="C187" s="114">
        <v>0.0013492257203121102</v>
      </c>
      <c r="D187" s="90" t="s">
        <v>2081</v>
      </c>
      <c r="E187" s="90" t="b">
        <v>0</v>
      </c>
      <c r="F187" s="90" t="b">
        <v>0</v>
      </c>
      <c r="G187" s="90" t="b">
        <v>0</v>
      </c>
    </row>
    <row r="188" spans="1:7" ht="15">
      <c r="A188" s="87" t="s">
        <v>1931</v>
      </c>
      <c r="B188" s="90">
        <v>2</v>
      </c>
      <c r="C188" s="114">
        <v>0.0013492257203121102</v>
      </c>
      <c r="D188" s="90" t="s">
        <v>2081</v>
      </c>
      <c r="E188" s="90" t="b">
        <v>0</v>
      </c>
      <c r="F188" s="90" t="b">
        <v>0</v>
      </c>
      <c r="G188" s="90" t="b">
        <v>0</v>
      </c>
    </row>
    <row r="189" spans="1:7" ht="15">
      <c r="A189" s="87" t="s">
        <v>1932</v>
      </c>
      <c r="B189" s="90">
        <v>2</v>
      </c>
      <c r="C189" s="114">
        <v>0.0013492257203121102</v>
      </c>
      <c r="D189" s="90" t="s">
        <v>2081</v>
      </c>
      <c r="E189" s="90" t="b">
        <v>0</v>
      </c>
      <c r="F189" s="90" t="b">
        <v>0</v>
      </c>
      <c r="G189" s="90" t="b">
        <v>0</v>
      </c>
    </row>
    <row r="190" spans="1:7" ht="15">
      <c r="A190" s="87" t="s">
        <v>1933</v>
      </c>
      <c r="B190" s="90">
        <v>2</v>
      </c>
      <c r="C190" s="114">
        <v>0.0013492257203121102</v>
      </c>
      <c r="D190" s="90" t="s">
        <v>2081</v>
      </c>
      <c r="E190" s="90" t="b">
        <v>0</v>
      </c>
      <c r="F190" s="90" t="b">
        <v>0</v>
      </c>
      <c r="G190" s="90" t="b">
        <v>0</v>
      </c>
    </row>
    <row r="191" spans="1:7" ht="15">
      <c r="A191" s="87" t="s">
        <v>1934</v>
      </c>
      <c r="B191" s="90">
        <v>2</v>
      </c>
      <c r="C191" s="114">
        <v>0.0013492257203121102</v>
      </c>
      <c r="D191" s="90" t="s">
        <v>2081</v>
      </c>
      <c r="E191" s="90" t="b">
        <v>0</v>
      </c>
      <c r="F191" s="90" t="b">
        <v>0</v>
      </c>
      <c r="G191" s="90" t="b">
        <v>0</v>
      </c>
    </row>
    <row r="192" spans="1:7" ht="15">
      <c r="A192" s="87" t="s">
        <v>1935</v>
      </c>
      <c r="B192" s="90">
        <v>2</v>
      </c>
      <c r="C192" s="114">
        <v>0.0013492257203121102</v>
      </c>
      <c r="D192" s="90" t="s">
        <v>2081</v>
      </c>
      <c r="E192" s="90" t="b">
        <v>0</v>
      </c>
      <c r="F192" s="90" t="b">
        <v>0</v>
      </c>
      <c r="G192" s="90" t="b">
        <v>0</v>
      </c>
    </row>
    <row r="193" spans="1:7" ht="15">
      <c r="A193" s="87" t="s">
        <v>1936</v>
      </c>
      <c r="B193" s="90">
        <v>2</v>
      </c>
      <c r="C193" s="114">
        <v>0.0013492257203121102</v>
      </c>
      <c r="D193" s="90" t="s">
        <v>2081</v>
      </c>
      <c r="E193" s="90" t="b">
        <v>0</v>
      </c>
      <c r="F193" s="90" t="b">
        <v>0</v>
      </c>
      <c r="G193" s="90" t="b">
        <v>0</v>
      </c>
    </row>
    <row r="194" spans="1:7" ht="15">
      <c r="A194" s="87" t="s">
        <v>1937</v>
      </c>
      <c r="B194" s="90">
        <v>2</v>
      </c>
      <c r="C194" s="114">
        <v>0.0013492257203121102</v>
      </c>
      <c r="D194" s="90" t="s">
        <v>2081</v>
      </c>
      <c r="E194" s="90" t="b">
        <v>0</v>
      </c>
      <c r="F194" s="90" t="b">
        <v>0</v>
      </c>
      <c r="G194" s="90" t="b">
        <v>0</v>
      </c>
    </row>
    <row r="195" spans="1:7" ht="15">
      <c r="A195" s="87" t="s">
        <v>1938</v>
      </c>
      <c r="B195" s="90">
        <v>2</v>
      </c>
      <c r="C195" s="114">
        <v>0.0013492257203121102</v>
      </c>
      <c r="D195" s="90" t="s">
        <v>2081</v>
      </c>
      <c r="E195" s="90" t="b">
        <v>0</v>
      </c>
      <c r="F195" s="90" t="b">
        <v>0</v>
      </c>
      <c r="G195" s="90" t="b">
        <v>0</v>
      </c>
    </row>
    <row r="196" spans="1:7" ht="15">
      <c r="A196" s="87" t="s">
        <v>1939</v>
      </c>
      <c r="B196" s="90">
        <v>2</v>
      </c>
      <c r="C196" s="114">
        <v>0.0013492257203121102</v>
      </c>
      <c r="D196" s="90" t="s">
        <v>2081</v>
      </c>
      <c r="E196" s="90" t="b">
        <v>0</v>
      </c>
      <c r="F196" s="90" t="b">
        <v>0</v>
      </c>
      <c r="G196" s="90" t="b">
        <v>0</v>
      </c>
    </row>
    <row r="197" spans="1:7" ht="15">
      <c r="A197" s="87" t="s">
        <v>1940</v>
      </c>
      <c r="B197" s="90">
        <v>2</v>
      </c>
      <c r="C197" s="114">
        <v>0.0013492257203121102</v>
      </c>
      <c r="D197" s="90" t="s">
        <v>2081</v>
      </c>
      <c r="E197" s="90" t="b">
        <v>0</v>
      </c>
      <c r="F197" s="90" t="b">
        <v>0</v>
      </c>
      <c r="G197" s="90" t="b">
        <v>0</v>
      </c>
    </row>
    <row r="198" spans="1:7" ht="15">
      <c r="A198" s="87" t="s">
        <v>1941</v>
      </c>
      <c r="B198" s="90">
        <v>2</v>
      </c>
      <c r="C198" s="114">
        <v>0.0013492257203121102</v>
      </c>
      <c r="D198" s="90" t="s">
        <v>2081</v>
      </c>
      <c r="E198" s="90" t="b">
        <v>0</v>
      </c>
      <c r="F198" s="90" t="b">
        <v>0</v>
      </c>
      <c r="G198" s="90" t="b">
        <v>0</v>
      </c>
    </row>
    <row r="199" spans="1:7" ht="15">
      <c r="A199" s="87" t="s">
        <v>1942</v>
      </c>
      <c r="B199" s="90">
        <v>2</v>
      </c>
      <c r="C199" s="114">
        <v>0.0013492257203121102</v>
      </c>
      <c r="D199" s="90" t="s">
        <v>2081</v>
      </c>
      <c r="E199" s="90" t="b">
        <v>0</v>
      </c>
      <c r="F199" s="90" t="b">
        <v>0</v>
      </c>
      <c r="G199" s="90" t="b">
        <v>0</v>
      </c>
    </row>
    <row r="200" spans="1:7" ht="15">
      <c r="A200" s="87" t="s">
        <v>1943</v>
      </c>
      <c r="B200" s="90">
        <v>2</v>
      </c>
      <c r="C200" s="114">
        <v>0.0013492257203121102</v>
      </c>
      <c r="D200" s="90" t="s">
        <v>2081</v>
      </c>
      <c r="E200" s="90" t="b">
        <v>0</v>
      </c>
      <c r="F200" s="90" t="b">
        <v>0</v>
      </c>
      <c r="G200" s="90" t="b">
        <v>0</v>
      </c>
    </row>
    <row r="201" spans="1:7" ht="15">
      <c r="A201" s="87" t="s">
        <v>1944</v>
      </c>
      <c r="B201" s="90">
        <v>2</v>
      </c>
      <c r="C201" s="114">
        <v>0.0013492257203121102</v>
      </c>
      <c r="D201" s="90" t="s">
        <v>2081</v>
      </c>
      <c r="E201" s="90" t="b">
        <v>1</v>
      </c>
      <c r="F201" s="90" t="b">
        <v>0</v>
      </c>
      <c r="G201" s="90" t="b">
        <v>0</v>
      </c>
    </row>
    <row r="202" spans="1:7" ht="15">
      <c r="A202" s="87" t="s">
        <v>1945</v>
      </c>
      <c r="B202" s="90">
        <v>2</v>
      </c>
      <c r="C202" s="114">
        <v>0.0013492257203121102</v>
      </c>
      <c r="D202" s="90" t="s">
        <v>2081</v>
      </c>
      <c r="E202" s="90" t="b">
        <v>0</v>
      </c>
      <c r="F202" s="90" t="b">
        <v>0</v>
      </c>
      <c r="G202" s="90" t="b">
        <v>0</v>
      </c>
    </row>
    <row r="203" spans="1:7" ht="15">
      <c r="A203" s="87" t="s">
        <v>1946</v>
      </c>
      <c r="B203" s="90">
        <v>2</v>
      </c>
      <c r="C203" s="114">
        <v>0.0013492257203121102</v>
      </c>
      <c r="D203" s="90" t="s">
        <v>2081</v>
      </c>
      <c r="E203" s="90" t="b">
        <v>0</v>
      </c>
      <c r="F203" s="90" t="b">
        <v>0</v>
      </c>
      <c r="G203" s="90" t="b">
        <v>0</v>
      </c>
    </row>
    <row r="204" spans="1:7" ht="15">
      <c r="A204" s="87" t="s">
        <v>1947</v>
      </c>
      <c r="B204" s="90">
        <v>2</v>
      </c>
      <c r="C204" s="114">
        <v>0.0013492257203121102</v>
      </c>
      <c r="D204" s="90" t="s">
        <v>2081</v>
      </c>
      <c r="E204" s="90" t="b">
        <v>0</v>
      </c>
      <c r="F204" s="90" t="b">
        <v>0</v>
      </c>
      <c r="G204" s="90" t="b">
        <v>0</v>
      </c>
    </row>
    <row r="205" spans="1:7" ht="15">
      <c r="A205" s="87" t="s">
        <v>1948</v>
      </c>
      <c r="B205" s="90">
        <v>2</v>
      </c>
      <c r="C205" s="114">
        <v>0.0013492257203121102</v>
      </c>
      <c r="D205" s="90" t="s">
        <v>2081</v>
      </c>
      <c r="E205" s="90" t="b">
        <v>0</v>
      </c>
      <c r="F205" s="90" t="b">
        <v>0</v>
      </c>
      <c r="G205" s="90" t="b">
        <v>0</v>
      </c>
    </row>
    <row r="206" spans="1:7" ht="15">
      <c r="A206" s="87" t="s">
        <v>1949</v>
      </c>
      <c r="B206" s="90">
        <v>2</v>
      </c>
      <c r="C206" s="114">
        <v>0.0013492257203121102</v>
      </c>
      <c r="D206" s="90" t="s">
        <v>2081</v>
      </c>
      <c r="E206" s="90" t="b">
        <v>0</v>
      </c>
      <c r="F206" s="90" t="b">
        <v>0</v>
      </c>
      <c r="G206" s="90" t="b">
        <v>0</v>
      </c>
    </row>
    <row r="207" spans="1:7" ht="15">
      <c r="A207" s="87" t="s">
        <v>1950</v>
      </c>
      <c r="B207" s="90">
        <v>2</v>
      </c>
      <c r="C207" s="114">
        <v>0.0013492257203121102</v>
      </c>
      <c r="D207" s="90" t="s">
        <v>2081</v>
      </c>
      <c r="E207" s="90" t="b">
        <v>0</v>
      </c>
      <c r="F207" s="90" t="b">
        <v>0</v>
      </c>
      <c r="G207" s="90" t="b">
        <v>0</v>
      </c>
    </row>
    <row r="208" spans="1:7" ht="15">
      <c r="A208" s="87" t="s">
        <v>1951</v>
      </c>
      <c r="B208" s="90">
        <v>2</v>
      </c>
      <c r="C208" s="114">
        <v>0.0013492257203121102</v>
      </c>
      <c r="D208" s="90" t="s">
        <v>2081</v>
      </c>
      <c r="E208" s="90" t="b">
        <v>0</v>
      </c>
      <c r="F208" s="90" t="b">
        <v>0</v>
      </c>
      <c r="G208" s="90" t="b">
        <v>0</v>
      </c>
    </row>
    <row r="209" spans="1:7" ht="15">
      <c r="A209" s="87" t="s">
        <v>1952</v>
      </c>
      <c r="B209" s="90">
        <v>2</v>
      </c>
      <c r="C209" s="114">
        <v>0.0013492257203121102</v>
      </c>
      <c r="D209" s="90" t="s">
        <v>2081</v>
      </c>
      <c r="E209" s="90" t="b">
        <v>0</v>
      </c>
      <c r="F209" s="90" t="b">
        <v>0</v>
      </c>
      <c r="G209" s="90" t="b">
        <v>0</v>
      </c>
    </row>
    <row r="210" spans="1:7" ht="15">
      <c r="A210" s="87" t="s">
        <v>1953</v>
      </c>
      <c r="B210" s="90">
        <v>2</v>
      </c>
      <c r="C210" s="114">
        <v>0.0013492257203121102</v>
      </c>
      <c r="D210" s="90" t="s">
        <v>2081</v>
      </c>
      <c r="E210" s="90" t="b">
        <v>0</v>
      </c>
      <c r="F210" s="90" t="b">
        <v>0</v>
      </c>
      <c r="G210" s="90" t="b">
        <v>0</v>
      </c>
    </row>
    <row r="211" spans="1:7" ht="15">
      <c r="A211" s="87" t="s">
        <v>1954</v>
      </c>
      <c r="B211" s="90">
        <v>2</v>
      </c>
      <c r="C211" s="114">
        <v>0.0013492257203121102</v>
      </c>
      <c r="D211" s="90" t="s">
        <v>2081</v>
      </c>
      <c r="E211" s="90" t="b">
        <v>0</v>
      </c>
      <c r="F211" s="90" t="b">
        <v>0</v>
      </c>
      <c r="G211" s="90" t="b">
        <v>0</v>
      </c>
    </row>
    <row r="212" spans="1:7" ht="15">
      <c r="A212" s="87" t="s">
        <v>1955</v>
      </c>
      <c r="B212" s="90">
        <v>2</v>
      </c>
      <c r="C212" s="114">
        <v>0.0013492257203121102</v>
      </c>
      <c r="D212" s="90" t="s">
        <v>2081</v>
      </c>
      <c r="E212" s="90" t="b">
        <v>0</v>
      </c>
      <c r="F212" s="90" t="b">
        <v>0</v>
      </c>
      <c r="G212" s="90" t="b">
        <v>0</v>
      </c>
    </row>
    <row r="213" spans="1:7" ht="15">
      <c r="A213" s="87" t="s">
        <v>1956</v>
      </c>
      <c r="B213" s="90">
        <v>2</v>
      </c>
      <c r="C213" s="114">
        <v>0.0013492257203121102</v>
      </c>
      <c r="D213" s="90" t="s">
        <v>2081</v>
      </c>
      <c r="E213" s="90" t="b">
        <v>0</v>
      </c>
      <c r="F213" s="90" t="b">
        <v>0</v>
      </c>
      <c r="G213" s="90" t="b">
        <v>0</v>
      </c>
    </row>
    <row r="214" spans="1:7" ht="15">
      <c r="A214" s="87" t="s">
        <v>1957</v>
      </c>
      <c r="B214" s="90">
        <v>2</v>
      </c>
      <c r="C214" s="114">
        <v>0.0013492257203121102</v>
      </c>
      <c r="D214" s="90" t="s">
        <v>2081</v>
      </c>
      <c r="E214" s="90" t="b">
        <v>0</v>
      </c>
      <c r="F214" s="90" t="b">
        <v>0</v>
      </c>
      <c r="G214" s="90" t="b">
        <v>0</v>
      </c>
    </row>
    <row r="215" spans="1:7" ht="15">
      <c r="A215" s="87" t="s">
        <v>1958</v>
      </c>
      <c r="B215" s="90">
        <v>2</v>
      </c>
      <c r="C215" s="114">
        <v>0.0013492257203121102</v>
      </c>
      <c r="D215" s="90" t="s">
        <v>2081</v>
      </c>
      <c r="E215" s="90" t="b">
        <v>0</v>
      </c>
      <c r="F215" s="90" t="b">
        <v>0</v>
      </c>
      <c r="G215" s="90" t="b">
        <v>0</v>
      </c>
    </row>
    <row r="216" spans="1:7" ht="15">
      <c r="A216" s="87" t="s">
        <v>1959</v>
      </c>
      <c r="B216" s="90">
        <v>2</v>
      </c>
      <c r="C216" s="114">
        <v>0.0013492257203121102</v>
      </c>
      <c r="D216" s="90" t="s">
        <v>2081</v>
      </c>
      <c r="E216" s="90" t="b">
        <v>0</v>
      </c>
      <c r="F216" s="90" t="b">
        <v>0</v>
      </c>
      <c r="G216" s="90" t="b">
        <v>0</v>
      </c>
    </row>
    <row r="217" spans="1:7" ht="15">
      <c r="A217" s="87" t="s">
        <v>1960</v>
      </c>
      <c r="B217" s="90">
        <v>2</v>
      </c>
      <c r="C217" s="114">
        <v>0.0013492257203121102</v>
      </c>
      <c r="D217" s="90" t="s">
        <v>2081</v>
      </c>
      <c r="E217" s="90" t="b">
        <v>0</v>
      </c>
      <c r="F217" s="90" t="b">
        <v>0</v>
      </c>
      <c r="G217" s="90" t="b">
        <v>0</v>
      </c>
    </row>
    <row r="218" spans="1:7" ht="15">
      <c r="A218" s="87" t="s">
        <v>1961</v>
      </c>
      <c r="B218" s="90">
        <v>2</v>
      </c>
      <c r="C218" s="114">
        <v>0.0013492257203121102</v>
      </c>
      <c r="D218" s="90" t="s">
        <v>2081</v>
      </c>
      <c r="E218" s="90" t="b">
        <v>0</v>
      </c>
      <c r="F218" s="90" t="b">
        <v>0</v>
      </c>
      <c r="G218" s="90" t="b">
        <v>0</v>
      </c>
    </row>
    <row r="219" spans="1:7" ht="15">
      <c r="A219" s="87" t="s">
        <v>1962</v>
      </c>
      <c r="B219" s="90">
        <v>2</v>
      </c>
      <c r="C219" s="114">
        <v>0.0013492257203121102</v>
      </c>
      <c r="D219" s="90" t="s">
        <v>2081</v>
      </c>
      <c r="E219" s="90" t="b">
        <v>0</v>
      </c>
      <c r="F219" s="90" t="b">
        <v>0</v>
      </c>
      <c r="G219" s="90" t="b">
        <v>0</v>
      </c>
    </row>
    <row r="220" spans="1:7" ht="15">
      <c r="A220" s="87" t="s">
        <v>1963</v>
      </c>
      <c r="B220" s="90">
        <v>2</v>
      </c>
      <c r="C220" s="114">
        <v>0.0013492257203121102</v>
      </c>
      <c r="D220" s="90" t="s">
        <v>2081</v>
      </c>
      <c r="E220" s="90" t="b">
        <v>0</v>
      </c>
      <c r="F220" s="90" t="b">
        <v>0</v>
      </c>
      <c r="G220" s="90" t="b">
        <v>0</v>
      </c>
    </row>
    <row r="221" spans="1:7" ht="15">
      <c r="A221" s="87" t="s">
        <v>1964</v>
      </c>
      <c r="B221" s="90">
        <v>2</v>
      </c>
      <c r="C221" s="114">
        <v>0.0013492257203121102</v>
      </c>
      <c r="D221" s="90" t="s">
        <v>2081</v>
      </c>
      <c r="E221" s="90" t="b">
        <v>0</v>
      </c>
      <c r="F221" s="90" t="b">
        <v>0</v>
      </c>
      <c r="G221" s="90" t="b">
        <v>0</v>
      </c>
    </row>
    <row r="222" spans="1:7" ht="15">
      <c r="A222" s="87" t="s">
        <v>1965</v>
      </c>
      <c r="B222" s="90">
        <v>2</v>
      </c>
      <c r="C222" s="114">
        <v>0.0013492257203121102</v>
      </c>
      <c r="D222" s="90" t="s">
        <v>2081</v>
      </c>
      <c r="E222" s="90" t="b">
        <v>0</v>
      </c>
      <c r="F222" s="90" t="b">
        <v>0</v>
      </c>
      <c r="G222" s="90" t="b">
        <v>0</v>
      </c>
    </row>
    <row r="223" spans="1:7" ht="15">
      <c r="A223" s="87" t="s">
        <v>1966</v>
      </c>
      <c r="B223" s="90">
        <v>2</v>
      </c>
      <c r="C223" s="114">
        <v>0.0013492257203121102</v>
      </c>
      <c r="D223" s="90" t="s">
        <v>2081</v>
      </c>
      <c r="E223" s="90" t="b">
        <v>0</v>
      </c>
      <c r="F223" s="90" t="b">
        <v>0</v>
      </c>
      <c r="G223" s="90" t="b">
        <v>0</v>
      </c>
    </row>
    <row r="224" spans="1:7" ht="15">
      <c r="A224" s="87" t="s">
        <v>1967</v>
      </c>
      <c r="B224" s="90">
        <v>2</v>
      </c>
      <c r="C224" s="114">
        <v>0.0013492257203121102</v>
      </c>
      <c r="D224" s="90" t="s">
        <v>2081</v>
      </c>
      <c r="E224" s="90" t="b">
        <v>0</v>
      </c>
      <c r="F224" s="90" t="b">
        <v>0</v>
      </c>
      <c r="G224" s="90" t="b">
        <v>0</v>
      </c>
    </row>
    <row r="225" spans="1:7" ht="15">
      <c r="A225" s="87" t="s">
        <v>1968</v>
      </c>
      <c r="B225" s="90">
        <v>2</v>
      </c>
      <c r="C225" s="114">
        <v>0.0013492257203121102</v>
      </c>
      <c r="D225" s="90" t="s">
        <v>2081</v>
      </c>
      <c r="E225" s="90" t="b">
        <v>0</v>
      </c>
      <c r="F225" s="90" t="b">
        <v>1</v>
      </c>
      <c r="G225" s="90" t="b">
        <v>0</v>
      </c>
    </row>
    <row r="226" spans="1:7" ht="15">
      <c r="A226" s="87" t="s">
        <v>1969</v>
      </c>
      <c r="B226" s="90">
        <v>2</v>
      </c>
      <c r="C226" s="114">
        <v>0.0013492257203121102</v>
      </c>
      <c r="D226" s="90" t="s">
        <v>2081</v>
      </c>
      <c r="E226" s="90" t="b">
        <v>0</v>
      </c>
      <c r="F226" s="90" t="b">
        <v>0</v>
      </c>
      <c r="G226" s="90" t="b">
        <v>0</v>
      </c>
    </row>
    <row r="227" spans="1:7" ht="15">
      <c r="A227" s="87" t="s">
        <v>1970</v>
      </c>
      <c r="B227" s="90">
        <v>2</v>
      </c>
      <c r="C227" s="114">
        <v>0.0013492257203121102</v>
      </c>
      <c r="D227" s="90" t="s">
        <v>2081</v>
      </c>
      <c r="E227" s="90" t="b">
        <v>0</v>
      </c>
      <c r="F227" s="90" t="b">
        <v>0</v>
      </c>
      <c r="G227" s="90" t="b">
        <v>0</v>
      </c>
    </row>
    <row r="228" spans="1:7" ht="15">
      <c r="A228" s="87" t="s">
        <v>1971</v>
      </c>
      <c r="B228" s="90">
        <v>2</v>
      </c>
      <c r="C228" s="114">
        <v>0.0013492257203121102</v>
      </c>
      <c r="D228" s="90" t="s">
        <v>2081</v>
      </c>
      <c r="E228" s="90" t="b">
        <v>0</v>
      </c>
      <c r="F228" s="90" t="b">
        <v>0</v>
      </c>
      <c r="G228" s="90" t="b">
        <v>0</v>
      </c>
    </row>
    <row r="229" spans="1:7" ht="15">
      <c r="A229" s="87" t="s">
        <v>1972</v>
      </c>
      <c r="B229" s="90">
        <v>2</v>
      </c>
      <c r="C229" s="114">
        <v>0.0013492257203121102</v>
      </c>
      <c r="D229" s="90" t="s">
        <v>2081</v>
      </c>
      <c r="E229" s="90" t="b">
        <v>0</v>
      </c>
      <c r="F229" s="90" t="b">
        <v>0</v>
      </c>
      <c r="G229" s="90" t="b">
        <v>0</v>
      </c>
    </row>
    <row r="230" spans="1:7" ht="15">
      <c r="A230" s="87" t="s">
        <v>1973</v>
      </c>
      <c r="B230" s="90">
        <v>2</v>
      </c>
      <c r="C230" s="114">
        <v>0.0013492257203121102</v>
      </c>
      <c r="D230" s="90" t="s">
        <v>2081</v>
      </c>
      <c r="E230" s="90" t="b">
        <v>0</v>
      </c>
      <c r="F230" s="90" t="b">
        <v>1</v>
      </c>
      <c r="G230" s="90" t="b">
        <v>0</v>
      </c>
    </row>
    <row r="231" spans="1:7" ht="15">
      <c r="A231" s="87" t="s">
        <v>1974</v>
      </c>
      <c r="B231" s="90">
        <v>2</v>
      </c>
      <c r="C231" s="114">
        <v>0.0013492257203121102</v>
      </c>
      <c r="D231" s="90" t="s">
        <v>2081</v>
      </c>
      <c r="E231" s="90" t="b">
        <v>0</v>
      </c>
      <c r="F231" s="90" t="b">
        <v>0</v>
      </c>
      <c r="G231" s="90" t="b">
        <v>0</v>
      </c>
    </row>
    <row r="232" spans="1:7" ht="15">
      <c r="A232" s="87" t="s">
        <v>1975</v>
      </c>
      <c r="B232" s="90">
        <v>2</v>
      </c>
      <c r="C232" s="114">
        <v>0.0013492257203121102</v>
      </c>
      <c r="D232" s="90" t="s">
        <v>2081</v>
      </c>
      <c r="E232" s="90" t="b">
        <v>0</v>
      </c>
      <c r="F232" s="90" t="b">
        <v>0</v>
      </c>
      <c r="G232" s="90" t="b">
        <v>0</v>
      </c>
    </row>
    <row r="233" spans="1:7" ht="15">
      <c r="A233" s="87" t="s">
        <v>1976</v>
      </c>
      <c r="B233" s="90">
        <v>2</v>
      </c>
      <c r="C233" s="114">
        <v>0.0013492257203121102</v>
      </c>
      <c r="D233" s="90" t="s">
        <v>2081</v>
      </c>
      <c r="E233" s="90" t="b">
        <v>0</v>
      </c>
      <c r="F233" s="90" t="b">
        <v>0</v>
      </c>
      <c r="G233" s="90" t="b">
        <v>0</v>
      </c>
    </row>
    <row r="234" spans="1:7" ht="15">
      <c r="A234" s="87" t="s">
        <v>1977</v>
      </c>
      <c r="B234" s="90">
        <v>2</v>
      </c>
      <c r="C234" s="114">
        <v>0.0013492257203121102</v>
      </c>
      <c r="D234" s="90" t="s">
        <v>2081</v>
      </c>
      <c r="E234" s="90" t="b">
        <v>0</v>
      </c>
      <c r="F234" s="90" t="b">
        <v>0</v>
      </c>
      <c r="G234" s="90" t="b">
        <v>0</v>
      </c>
    </row>
    <row r="235" spans="1:7" ht="15">
      <c r="A235" s="87" t="s">
        <v>1978</v>
      </c>
      <c r="B235" s="90">
        <v>2</v>
      </c>
      <c r="C235" s="114">
        <v>0.0013492257203121102</v>
      </c>
      <c r="D235" s="90" t="s">
        <v>2081</v>
      </c>
      <c r="E235" s="90" t="b">
        <v>0</v>
      </c>
      <c r="F235" s="90" t="b">
        <v>1</v>
      </c>
      <c r="G235" s="90" t="b">
        <v>0</v>
      </c>
    </row>
    <row r="236" spans="1:7" ht="15">
      <c r="A236" s="87" t="s">
        <v>1979</v>
      </c>
      <c r="B236" s="90">
        <v>2</v>
      </c>
      <c r="C236" s="114">
        <v>0.0013492257203121102</v>
      </c>
      <c r="D236" s="90" t="s">
        <v>2081</v>
      </c>
      <c r="E236" s="90" t="b">
        <v>0</v>
      </c>
      <c r="F236" s="90" t="b">
        <v>0</v>
      </c>
      <c r="G236" s="90" t="b">
        <v>0</v>
      </c>
    </row>
    <row r="237" spans="1:7" ht="15">
      <c r="A237" s="87" t="s">
        <v>1980</v>
      </c>
      <c r="B237" s="90">
        <v>2</v>
      </c>
      <c r="C237" s="114">
        <v>0.0013492257203121102</v>
      </c>
      <c r="D237" s="90" t="s">
        <v>2081</v>
      </c>
      <c r="E237" s="90" t="b">
        <v>0</v>
      </c>
      <c r="F237" s="90" t="b">
        <v>0</v>
      </c>
      <c r="G237" s="90" t="b">
        <v>0</v>
      </c>
    </row>
    <row r="238" spans="1:7" ht="15">
      <c r="A238" s="87" t="s">
        <v>1981</v>
      </c>
      <c r="B238" s="90">
        <v>2</v>
      </c>
      <c r="C238" s="114">
        <v>0.0013492257203121102</v>
      </c>
      <c r="D238" s="90" t="s">
        <v>2081</v>
      </c>
      <c r="E238" s="90" t="b">
        <v>0</v>
      </c>
      <c r="F238" s="90" t="b">
        <v>0</v>
      </c>
      <c r="G238" s="90" t="b">
        <v>0</v>
      </c>
    </row>
    <row r="239" spans="1:7" ht="15">
      <c r="A239" s="87" t="s">
        <v>1982</v>
      </c>
      <c r="B239" s="90">
        <v>2</v>
      </c>
      <c r="C239" s="114">
        <v>0.0013492257203121102</v>
      </c>
      <c r="D239" s="90" t="s">
        <v>2081</v>
      </c>
      <c r="E239" s="90" t="b">
        <v>0</v>
      </c>
      <c r="F239" s="90" t="b">
        <v>0</v>
      </c>
      <c r="G239" s="90" t="b">
        <v>0</v>
      </c>
    </row>
    <row r="240" spans="1:7" ht="15">
      <c r="A240" s="87" t="s">
        <v>1983</v>
      </c>
      <c r="B240" s="90">
        <v>2</v>
      </c>
      <c r="C240" s="114">
        <v>0.0013492257203121102</v>
      </c>
      <c r="D240" s="90" t="s">
        <v>2081</v>
      </c>
      <c r="E240" s="90" t="b">
        <v>0</v>
      </c>
      <c r="F240" s="90" t="b">
        <v>0</v>
      </c>
      <c r="G240" s="90" t="b">
        <v>0</v>
      </c>
    </row>
    <row r="241" spans="1:7" ht="15">
      <c r="A241" s="87" t="s">
        <v>1984</v>
      </c>
      <c r="B241" s="90">
        <v>2</v>
      </c>
      <c r="C241" s="114">
        <v>0.0013492257203121102</v>
      </c>
      <c r="D241" s="90" t="s">
        <v>2081</v>
      </c>
      <c r="E241" s="90" t="b">
        <v>0</v>
      </c>
      <c r="F241" s="90" t="b">
        <v>0</v>
      </c>
      <c r="G241" s="90" t="b">
        <v>0</v>
      </c>
    </row>
    <row r="242" spans="1:7" ht="15">
      <c r="A242" s="87" t="s">
        <v>1985</v>
      </c>
      <c r="B242" s="90">
        <v>2</v>
      </c>
      <c r="C242" s="114">
        <v>0.0013492257203121102</v>
      </c>
      <c r="D242" s="90" t="s">
        <v>2081</v>
      </c>
      <c r="E242" s="90" t="b">
        <v>0</v>
      </c>
      <c r="F242" s="90" t="b">
        <v>0</v>
      </c>
      <c r="G242" s="90" t="b">
        <v>0</v>
      </c>
    </row>
    <row r="243" spans="1:7" ht="15">
      <c r="A243" s="87" t="s">
        <v>1986</v>
      </c>
      <c r="B243" s="90">
        <v>2</v>
      </c>
      <c r="C243" s="114">
        <v>0.0013492257203121102</v>
      </c>
      <c r="D243" s="90" t="s">
        <v>2081</v>
      </c>
      <c r="E243" s="90" t="b">
        <v>0</v>
      </c>
      <c r="F243" s="90" t="b">
        <v>0</v>
      </c>
      <c r="G243" s="90" t="b">
        <v>0</v>
      </c>
    </row>
    <row r="244" spans="1:7" ht="15">
      <c r="A244" s="87" t="s">
        <v>1987</v>
      </c>
      <c r="B244" s="90">
        <v>2</v>
      </c>
      <c r="C244" s="114">
        <v>0.0013492257203121102</v>
      </c>
      <c r="D244" s="90" t="s">
        <v>2081</v>
      </c>
      <c r="E244" s="90" t="b">
        <v>0</v>
      </c>
      <c r="F244" s="90" t="b">
        <v>0</v>
      </c>
      <c r="G244" s="90" t="b">
        <v>0</v>
      </c>
    </row>
    <row r="245" spans="1:7" ht="15">
      <c r="A245" s="87" t="s">
        <v>1988</v>
      </c>
      <c r="B245" s="90">
        <v>2</v>
      </c>
      <c r="C245" s="114">
        <v>0.0013492257203121102</v>
      </c>
      <c r="D245" s="90" t="s">
        <v>2081</v>
      </c>
      <c r="E245" s="90" t="b">
        <v>0</v>
      </c>
      <c r="F245" s="90" t="b">
        <v>0</v>
      </c>
      <c r="G245" s="90" t="b">
        <v>0</v>
      </c>
    </row>
    <row r="246" spans="1:7" ht="15">
      <c r="A246" s="87" t="s">
        <v>1989</v>
      </c>
      <c r="B246" s="90">
        <v>2</v>
      </c>
      <c r="C246" s="114">
        <v>0.0013492257203121102</v>
      </c>
      <c r="D246" s="90" t="s">
        <v>2081</v>
      </c>
      <c r="E246" s="90" t="b">
        <v>0</v>
      </c>
      <c r="F246" s="90" t="b">
        <v>0</v>
      </c>
      <c r="G246" s="90" t="b">
        <v>0</v>
      </c>
    </row>
    <row r="247" spans="1:7" ht="15">
      <c r="A247" s="87" t="s">
        <v>1990</v>
      </c>
      <c r="B247" s="90">
        <v>2</v>
      </c>
      <c r="C247" s="114">
        <v>0.0013492257203121102</v>
      </c>
      <c r="D247" s="90" t="s">
        <v>2081</v>
      </c>
      <c r="E247" s="90" t="b">
        <v>0</v>
      </c>
      <c r="F247" s="90" t="b">
        <v>0</v>
      </c>
      <c r="G247" s="90" t="b">
        <v>0</v>
      </c>
    </row>
    <row r="248" spans="1:7" ht="15">
      <c r="A248" s="87" t="s">
        <v>1991</v>
      </c>
      <c r="B248" s="90">
        <v>2</v>
      </c>
      <c r="C248" s="114">
        <v>0.0013492257203121102</v>
      </c>
      <c r="D248" s="90" t="s">
        <v>2081</v>
      </c>
      <c r="E248" s="90" t="b">
        <v>0</v>
      </c>
      <c r="F248" s="90" t="b">
        <v>0</v>
      </c>
      <c r="G248" s="90" t="b">
        <v>0</v>
      </c>
    </row>
    <row r="249" spans="1:7" ht="15">
      <c r="A249" s="87" t="s">
        <v>1992</v>
      </c>
      <c r="B249" s="90">
        <v>2</v>
      </c>
      <c r="C249" s="114">
        <v>0.0013492257203121102</v>
      </c>
      <c r="D249" s="90" t="s">
        <v>2081</v>
      </c>
      <c r="E249" s="90" t="b">
        <v>0</v>
      </c>
      <c r="F249" s="90" t="b">
        <v>0</v>
      </c>
      <c r="G249" s="90" t="b">
        <v>0</v>
      </c>
    </row>
    <row r="250" spans="1:7" ht="15">
      <c r="A250" s="87" t="s">
        <v>1993</v>
      </c>
      <c r="B250" s="90">
        <v>2</v>
      </c>
      <c r="C250" s="114">
        <v>0.0013492257203121102</v>
      </c>
      <c r="D250" s="90" t="s">
        <v>2081</v>
      </c>
      <c r="E250" s="90" t="b">
        <v>0</v>
      </c>
      <c r="F250" s="90" t="b">
        <v>0</v>
      </c>
      <c r="G250" s="90" t="b">
        <v>0</v>
      </c>
    </row>
    <row r="251" spans="1:7" ht="15">
      <c r="A251" s="87" t="s">
        <v>1994</v>
      </c>
      <c r="B251" s="90">
        <v>2</v>
      </c>
      <c r="C251" s="114">
        <v>0.0013492257203121102</v>
      </c>
      <c r="D251" s="90" t="s">
        <v>2081</v>
      </c>
      <c r="E251" s="90" t="b">
        <v>0</v>
      </c>
      <c r="F251" s="90" t="b">
        <v>0</v>
      </c>
      <c r="G251" s="90" t="b">
        <v>0</v>
      </c>
    </row>
    <row r="252" spans="1:7" ht="15">
      <c r="A252" s="87" t="s">
        <v>1995</v>
      </c>
      <c r="B252" s="90">
        <v>2</v>
      </c>
      <c r="C252" s="114">
        <v>0.0013492257203121102</v>
      </c>
      <c r="D252" s="90" t="s">
        <v>2081</v>
      </c>
      <c r="E252" s="90" t="b">
        <v>0</v>
      </c>
      <c r="F252" s="90" t="b">
        <v>0</v>
      </c>
      <c r="G252" s="90" t="b">
        <v>0</v>
      </c>
    </row>
    <row r="253" spans="1:7" ht="15">
      <c r="A253" s="87" t="s">
        <v>1996</v>
      </c>
      <c r="B253" s="90">
        <v>2</v>
      </c>
      <c r="C253" s="114">
        <v>0.0013492257203121102</v>
      </c>
      <c r="D253" s="90" t="s">
        <v>2081</v>
      </c>
      <c r="E253" s="90" t="b">
        <v>0</v>
      </c>
      <c r="F253" s="90" t="b">
        <v>0</v>
      </c>
      <c r="G253" s="90" t="b">
        <v>0</v>
      </c>
    </row>
    <row r="254" spans="1:7" ht="15">
      <c r="A254" s="87" t="s">
        <v>1997</v>
      </c>
      <c r="B254" s="90">
        <v>2</v>
      </c>
      <c r="C254" s="114">
        <v>0.0013492257203121102</v>
      </c>
      <c r="D254" s="90" t="s">
        <v>2081</v>
      </c>
      <c r="E254" s="90" t="b">
        <v>0</v>
      </c>
      <c r="F254" s="90" t="b">
        <v>1</v>
      </c>
      <c r="G254" s="90" t="b">
        <v>0</v>
      </c>
    </row>
    <row r="255" spans="1:7" ht="15">
      <c r="A255" s="87" t="s">
        <v>1998</v>
      </c>
      <c r="B255" s="90">
        <v>2</v>
      </c>
      <c r="C255" s="114">
        <v>0.0013492257203121102</v>
      </c>
      <c r="D255" s="90" t="s">
        <v>2081</v>
      </c>
      <c r="E255" s="90" t="b">
        <v>1</v>
      </c>
      <c r="F255" s="90" t="b">
        <v>0</v>
      </c>
      <c r="G255" s="90" t="b">
        <v>0</v>
      </c>
    </row>
    <row r="256" spans="1:7" ht="15">
      <c r="A256" s="87" t="s">
        <v>1999</v>
      </c>
      <c r="B256" s="90">
        <v>2</v>
      </c>
      <c r="C256" s="114">
        <v>0.0013492257203121102</v>
      </c>
      <c r="D256" s="90" t="s">
        <v>2081</v>
      </c>
      <c r="E256" s="90" t="b">
        <v>0</v>
      </c>
      <c r="F256" s="90" t="b">
        <v>0</v>
      </c>
      <c r="G256" s="90" t="b">
        <v>0</v>
      </c>
    </row>
    <row r="257" spans="1:7" ht="15">
      <c r="A257" s="87" t="s">
        <v>2000</v>
      </c>
      <c r="B257" s="90">
        <v>2</v>
      </c>
      <c r="C257" s="114">
        <v>0.0013492257203121102</v>
      </c>
      <c r="D257" s="90" t="s">
        <v>2081</v>
      </c>
      <c r="E257" s="90" t="b">
        <v>0</v>
      </c>
      <c r="F257" s="90" t="b">
        <v>0</v>
      </c>
      <c r="G257" s="90" t="b">
        <v>0</v>
      </c>
    </row>
    <row r="258" spans="1:7" ht="15">
      <c r="A258" s="87" t="s">
        <v>2001</v>
      </c>
      <c r="B258" s="90">
        <v>2</v>
      </c>
      <c r="C258" s="114">
        <v>0.0013492257203121102</v>
      </c>
      <c r="D258" s="90" t="s">
        <v>2081</v>
      </c>
      <c r="E258" s="90" t="b">
        <v>0</v>
      </c>
      <c r="F258" s="90" t="b">
        <v>0</v>
      </c>
      <c r="G258" s="90" t="b">
        <v>0</v>
      </c>
    </row>
    <row r="259" spans="1:7" ht="15">
      <c r="A259" s="87" t="s">
        <v>2002</v>
      </c>
      <c r="B259" s="90">
        <v>2</v>
      </c>
      <c r="C259" s="114">
        <v>0.0013492257203121102</v>
      </c>
      <c r="D259" s="90" t="s">
        <v>2081</v>
      </c>
      <c r="E259" s="90" t="b">
        <v>0</v>
      </c>
      <c r="F259" s="90" t="b">
        <v>0</v>
      </c>
      <c r="G259" s="90" t="b">
        <v>0</v>
      </c>
    </row>
    <row r="260" spans="1:7" ht="15">
      <c r="A260" s="87" t="s">
        <v>2003</v>
      </c>
      <c r="B260" s="90">
        <v>2</v>
      </c>
      <c r="C260" s="114">
        <v>0.0013492257203121102</v>
      </c>
      <c r="D260" s="90" t="s">
        <v>2081</v>
      </c>
      <c r="E260" s="90" t="b">
        <v>0</v>
      </c>
      <c r="F260" s="90" t="b">
        <v>1</v>
      </c>
      <c r="G260" s="90" t="b">
        <v>0</v>
      </c>
    </row>
    <row r="261" spans="1:7" ht="15">
      <c r="A261" s="87" t="s">
        <v>2004</v>
      </c>
      <c r="B261" s="90">
        <v>2</v>
      </c>
      <c r="C261" s="114">
        <v>0.0013492257203121102</v>
      </c>
      <c r="D261" s="90" t="s">
        <v>2081</v>
      </c>
      <c r="E261" s="90" t="b">
        <v>0</v>
      </c>
      <c r="F261" s="90" t="b">
        <v>0</v>
      </c>
      <c r="G261" s="90" t="b">
        <v>0</v>
      </c>
    </row>
    <row r="262" spans="1:7" ht="15">
      <c r="A262" s="87" t="s">
        <v>2005</v>
      </c>
      <c r="B262" s="90">
        <v>2</v>
      </c>
      <c r="C262" s="114">
        <v>0.0013492257203121102</v>
      </c>
      <c r="D262" s="90" t="s">
        <v>2081</v>
      </c>
      <c r="E262" s="90" t="b">
        <v>0</v>
      </c>
      <c r="F262" s="90" t="b">
        <v>0</v>
      </c>
      <c r="G262" s="90" t="b">
        <v>0</v>
      </c>
    </row>
    <row r="263" spans="1:7" ht="15">
      <c r="A263" s="87" t="s">
        <v>2006</v>
      </c>
      <c r="B263" s="90">
        <v>2</v>
      </c>
      <c r="C263" s="114">
        <v>0.0013492257203121102</v>
      </c>
      <c r="D263" s="90" t="s">
        <v>2081</v>
      </c>
      <c r="E263" s="90" t="b">
        <v>0</v>
      </c>
      <c r="F263" s="90" t="b">
        <v>0</v>
      </c>
      <c r="G263" s="90" t="b">
        <v>0</v>
      </c>
    </row>
    <row r="264" spans="1:7" ht="15">
      <c r="A264" s="87" t="s">
        <v>2007</v>
      </c>
      <c r="B264" s="90">
        <v>2</v>
      </c>
      <c r="C264" s="114">
        <v>0.0013492257203121102</v>
      </c>
      <c r="D264" s="90" t="s">
        <v>2081</v>
      </c>
      <c r="E264" s="90" t="b">
        <v>0</v>
      </c>
      <c r="F264" s="90" t="b">
        <v>0</v>
      </c>
      <c r="G264" s="90" t="b">
        <v>0</v>
      </c>
    </row>
    <row r="265" spans="1:7" ht="15">
      <c r="A265" s="87" t="s">
        <v>2008</v>
      </c>
      <c r="B265" s="90">
        <v>2</v>
      </c>
      <c r="C265" s="114">
        <v>0.0013492257203121102</v>
      </c>
      <c r="D265" s="90" t="s">
        <v>2081</v>
      </c>
      <c r="E265" s="90" t="b">
        <v>0</v>
      </c>
      <c r="F265" s="90" t="b">
        <v>0</v>
      </c>
      <c r="G265" s="90" t="b">
        <v>0</v>
      </c>
    </row>
    <row r="266" spans="1:7" ht="15">
      <c r="A266" s="87" t="s">
        <v>2009</v>
      </c>
      <c r="B266" s="90">
        <v>2</v>
      </c>
      <c r="C266" s="114">
        <v>0.0013492257203121102</v>
      </c>
      <c r="D266" s="90" t="s">
        <v>2081</v>
      </c>
      <c r="E266" s="90" t="b">
        <v>1</v>
      </c>
      <c r="F266" s="90" t="b">
        <v>0</v>
      </c>
      <c r="G266" s="90" t="b">
        <v>0</v>
      </c>
    </row>
    <row r="267" spans="1:7" ht="15">
      <c r="A267" s="87" t="s">
        <v>2010</v>
      </c>
      <c r="B267" s="90">
        <v>2</v>
      </c>
      <c r="C267" s="114">
        <v>0.0013492257203121102</v>
      </c>
      <c r="D267" s="90" t="s">
        <v>2081</v>
      </c>
      <c r="E267" s="90" t="b">
        <v>0</v>
      </c>
      <c r="F267" s="90" t="b">
        <v>0</v>
      </c>
      <c r="G267" s="90" t="b">
        <v>0</v>
      </c>
    </row>
    <row r="268" spans="1:7" ht="15">
      <c r="A268" s="87" t="s">
        <v>2011</v>
      </c>
      <c r="B268" s="90">
        <v>2</v>
      </c>
      <c r="C268" s="114">
        <v>0.0013492257203121102</v>
      </c>
      <c r="D268" s="90" t="s">
        <v>2081</v>
      </c>
      <c r="E268" s="90" t="b">
        <v>0</v>
      </c>
      <c r="F268" s="90" t="b">
        <v>0</v>
      </c>
      <c r="G268" s="90" t="b">
        <v>0</v>
      </c>
    </row>
    <row r="269" spans="1:7" ht="15">
      <c r="A269" s="87" t="s">
        <v>2012</v>
      </c>
      <c r="B269" s="90">
        <v>2</v>
      </c>
      <c r="C269" s="114">
        <v>0.0013492257203121102</v>
      </c>
      <c r="D269" s="90" t="s">
        <v>2081</v>
      </c>
      <c r="E269" s="90" t="b">
        <v>0</v>
      </c>
      <c r="F269" s="90" t="b">
        <v>0</v>
      </c>
      <c r="G269" s="90" t="b">
        <v>0</v>
      </c>
    </row>
    <row r="270" spans="1:7" ht="15">
      <c r="A270" s="87" t="s">
        <v>328</v>
      </c>
      <c r="B270" s="90">
        <v>2</v>
      </c>
      <c r="C270" s="114">
        <v>0.0013492257203121102</v>
      </c>
      <c r="D270" s="90" t="s">
        <v>2081</v>
      </c>
      <c r="E270" s="90" t="b">
        <v>0</v>
      </c>
      <c r="F270" s="90" t="b">
        <v>0</v>
      </c>
      <c r="G270" s="90" t="b">
        <v>0</v>
      </c>
    </row>
    <row r="271" spans="1:7" ht="15">
      <c r="A271" s="87" t="s">
        <v>2013</v>
      </c>
      <c r="B271" s="90">
        <v>2</v>
      </c>
      <c r="C271" s="114">
        <v>0.0013492257203121102</v>
      </c>
      <c r="D271" s="90" t="s">
        <v>2081</v>
      </c>
      <c r="E271" s="90" t="b">
        <v>0</v>
      </c>
      <c r="F271" s="90" t="b">
        <v>0</v>
      </c>
      <c r="G271" s="90" t="b">
        <v>0</v>
      </c>
    </row>
    <row r="272" spans="1:7" ht="15">
      <c r="A272" s="87" t="s">
        <v>2014</v>
      </c>
      <c r="B272" s="90">
        <v>2</v>
      </c>
      <c r="C272" s="114">
        <v>0.0013492257203121102</v>
      </c>
      <c r="D272" s="90" t="s">
        <v>2081</v>
      </c>
      <c r="E272" s="90" t="b">
        <v>0</v>
      </c>
      <c r="F272" s="90" t="b">
        <v>0</v>
      </c>
      <c r="G272" s="90" t="b">
        <v>0</v>
      </c>
    </row>
    <row r="273" spans="1:7" ht="15">
      <c r="A273" s="87" t="s">
        <v>2015</v>
      </c>
      <c r="B273" s="90">
        <v>2</v>
      </c>
      <c r="C273" s="114">
        <v>0.0013492257203121102</v>
      </c>
      <c r="D273" s="90" t="s">
        <v>2081</v>
      </c>
      <c r="E273" s="90" t="b">
        <v>0</v>
      </c>
      <c r="F273" s="90" t="b">
        <v>0</v>
      </c>
      <c r="G273" s="90" t="b">
        <v>0</v>
      </c>
    </row>
    <row r="274" spans="1:7" ht="15">
      <c r="A274" s="87" t="s">
        <v>1557</v>
      </c>
      <c r="B274" s="90">
        <v>2</v>
      </c>
      <c r="C274" s="114">
        <v>0.0015503817481530599</v>
      </c>
      <c r="D274" s="90" t="s">
        <v>2081</v>
      </c>
      <c r="E274" s="90" t="b">
        <v>0</v>
      </c>
      <c r="F274" s="90" t="b">
        <v>0</v>
      </c>
      <c r="G274" s="90" t="b">
        <v>0</v>
      </c>
    </row>
    <row r="275" spans="1:7" ht="15">
      <c r="A275" s="87" t="s">
        <v>2016</v>
      </c>
      <c r="B275" s="90">
        <v>2</v>
      </c>
      <c r="C275" s="114">
        <v>0.0013492257203121102</v>
      </c>
      <c r="D275" s="90" t="s">
        <v>2081</v>
      </c>
      <c r="E275" s="90" t="b">
        <v>0</v>
      </c>
      <c r="F275" s="90" t="b">
        <v>0</v>
      </c>
      <c r="G275" s="90" t="b">
        <v>0</v>
      </c>
    </row>
    <row r="276" spans="1:7" ht="15">
      <c r="A276" s="87" t="s">
        <v>2017</v>
      </c>
      <c r="B276" s="90">
        <v>2</v>
      </c>
      <c r="C276" s="114">
        <v>0.0013492257203121102</v>
      </c>
      <c r="D276" s="90" t="s">
        <v>2081</v>
      </c>
      <c r="E276" s="90" t="b">
        <v>1</v>
      </c>
      <c r="F276" s="90" t="b">
        <v>0</v>
      </c>
      <c r="G276" s="90" t="b">
        <v>0</v>
      </c>
    </row>
    <row r="277" spans="1:7" ht="15">
      <c r="A277" s="87" t="s">
        <v>2018</v>
      </c>
      <c r="B277" s="90">
        <v>2</v>
      </c>
      <c r="C277" s="114">
        <v>0.0013492257203121102</v>
      </c>
      <c r="D277" s="90" t="s">
        <v>2081</v>
      </c>
      <c r="E277" s="90" t="b">
        <v>0</v>
      </c>
      <c r="F277" s="90" t="b">
        <v>0</v>
      </c>
      <c r="G277" s="90" t="b">
        <v>0</v>
      </c>
    </row>
    <row r="278" spans="1:7" ht="15">
      <c r="A278" s="87" t="s">
        <v>2019</v>
      </c>
      <c r="B278" s="90">
        <v>2</v>
      </c>
      <c r="C278" s="114">
        <v>0.0013492257203121102</v>
      </c>
      <c r="D278" s="90" t="s">
        <v>2081</v>
      </c>
      <c r="E278" s="90" t="b">
        <v>0</v>
      </c>
      <c r="F278" s="90" t="b">
        <v>0</v>
      </c>
      <c r="G278" s="90" t="b">
        <v>0</v>
      </c>
    </row>
    <row r="279" spans="1:7" ht="15">
      <c r="A279" s="87" t="s">
        <v>2020</v>
      </c>
      <c r="B279" s="90">
        <v>2</v>
      </c>
      <c r="C279" s="114">
        <v>0.0013492257203121102</v>
      </c>
      <c r="D279" s="90" t="s">
        <v>2081</v>
      </c>
      <c r="E279" s="90" t="b">
        <v>0</v>
      </c>
      <c r="F279" s="90" t="b">
        <v>0</v>
      </c>
      <c r="G279" s="90" t="b">
        <v>0</v>
      </c>
    </row>
    <row r="280" spans="1:7" ht="15">
      <c r="A280" s="87" t="s">
        <v>1516</v>
      </c>
      <c r="B280" s="90">
        <v>2</v>
      </c>
      <c r="C280" s="114">
        <v>0.0015503817481530599</v>
      </c>
      <c r="D280" s="90" t="s">
        <v>2081</v>
      </c>
      <c r="E280" s="90" t="b">
        <v>0</v>
      </c>
      <c r="F280" s="90" t="b">
        <v>0</v>
      </c>
      <c r="G280" s="90" t="b">
        <v>0</v>
      </c>
    </row>
    <row r="281" spans="1:7" ht="15">
      <c r="A281" s="87" t="s">
        <v>1517</v>
      </c>
      <c r="B281" s="90">
        <v>2</v>
      </c>
      <c r="C281" s="114">
        <v>0.0015503817481530599</v>
      </c>
      <c r="D281" s="90" t="s">
        <v>2081</v>
      </c>
      <c r="E281" s="90" t="b">
        <v>0</v>
      </c>
      <c r="F281" s="90" t="b">
        <v>0</v>
      </c>
      <c r="G281" s="90" t="b">
        <v>0</v>
      </c>
    </row>
    <row r="282" spans="1:7" ht="15">
      <c r="A282" s="87" t="s">
        <v>2021</v>
      </c>
      <c r="B282" s="90">
        <v>2</v>
      </c>
      <c r="C282" s="114">
        <v>0.0013492257203121102</v>
      </c>
      <c r="D282" s="90" t="s">
        <v>2081</v>
      </c>
      <c r="E282" s="90" t="b">
        <v>0</v>
      </c>
      <c r="F282" s="90" t="b">
        <v>0</v>
      </c>
      <c r="G282" s="90" t="b">
        <v>0</v>
      </c>
    </row>
    <row r="283" spans="1:7" ht="15">
      <c r="A283" s="87" t="s">
        <v>2022</v>
      </c>
      <c r="B283" s="90">
        <v>2</v>
      </c>
      <c r="C283" s="114">
        <v>0.0013492257203121102</v>
      </c>
      <c r="D283" s="90" t="s">
        <v>2081</v>
      </c>
      <c r="E283" s="90" t="b">
        <v>0</v>
      </c>
      <c r="F283" s="90" t="b">
        <v>0</v>
      </c>
      <c r="G283" s="90" t="b">
        <v>0</v>
      </c>
    </row>
    <row r="284" spans="1:7" ht="15">
      <c r="A284" s="87" t="s">
        <v>2023</v>
      </c>
      <c r="B284" s="90">
        <v>2</v>
      </c>
      <c r="C284" s="114">
        <v>0.0013492257203121102</v>
      </c>
      <c r="D284" s="90" t="s">
        <v>2081</v>
      </c>
      <c r="E284" s="90" t="b">
        <v>0</v>
      </c>
      <c r="F284" s="90" t="b">
        <v>1</v>
      </c>
      <c r="G284" s="90" t="b">
        <v>0</v>
      </c>
    </row>
    <row r="285" spans="1:7" ht="15">
      <c r="A285" s="87" t="s">
        <v>2024</v>
      </c>
      <c r="B285" s="90">
        <v>2</v>
      </c>
      <c r="C285" s="114">
        <v>0.0013492257203121102</v>
      </c>
      <c r="D285" s="90" t="s">
        <v>2081</v>
      </c>
      <c r="E285" s="90" t="b">
        <v>0</v>
      </c>
      <c r="F285" s="90" t="b">
        <v>0</v>
      </c>
      <c r="G285" s="90" t="b">
        <v>0</v>
      </c>
    </row>
    <row r="286" spans="1:7" ht="15">
      <c r="A286" s="87" t="s">
        <v>2025</v>
      </c>
      <c r="B286" s="90">
        <v>2</v>
      </c>
      <c r="C286" s="114">
        <v>0.0013492257203121102</v>
      </c>
      <c r="D286" s="90" t="s">
        <v>2081</v>
      </c>
      <c r="E286" s="90" t="b">
        <v>0</v>
      </c>
      <c r="F286" s="90" t="b">
        <v>0</v>
      </c>
      <c r="G286" s="90" t="b">
        <v>0</v>
      </c>
    </row>
    <row r="287" spans="1:7" ht="15">
      <c r="A287" s="87" t="s">
        <v>2026</v>
      </c>
      <c r="B287" s="90">
        <v>2</v>
      </c>
      <c r="C287" s="114">
        <v>0.0013492257203121102</v>
      </c>
      <c r="D287" s="90" t="s">
        <v>2081</v>
      </c>
      <c r="E287" s="90" t="b">
        <v>0</v>
      </c>
      <c r="F287" s="90" t="b">
        <v>0</v>
      </c>
      <c r="G287" s="90" t="b">
        <v>0</v>
      </c>
    </row>
    <row r="288" spans="1:7" ht="15">
      <c r="A288" s="87" t="s">
        <v>2027</v>
      </c>
      <c r="B288" s="90">
        <v>2</v>
      </c>
      <c r="C288" s="114">
        <v>0.0013492257203121102</v>
      </c>
      <c r="D288" s="90" t="s">
        <v>2081</v>
      </c>
      <c r="E288" s="90" t="b">
        <v>0</v>
      </c>
      <c r="F288" s="90" t="b">
        <v>0</v>
      </c>
      <c r="G288" s="90" t="b">
        <v>0</v>
      </c>
    </row>
    <row r="289" spans="1:7" ht="15">
      <c r="A289" s="87" t="s">
        <v>2028</v>
      </c>
      <c r="B289" s="90">
        <v>2</v>
      </c>
      <c r="C289" s="114">
        <v>0.0013492257203121102</v>
      </c>
      <c r="D289" s="90" t="s">
        <v>2081</v>
      </c>
      <c r="E289" s="90" t="b">
        <v>0</v>
      </c>
      <c r="F289" s="90" t="b">
        <v>0</v>
      </c>
      <c r="G289" s="90" t="b">
        <v>0</v>
      </c>
    </row>
    <row r="290" spans="1:7" ht="15">
      <c r="A290" s="87" t="s">
        <v>2029</v>
      </c>
      <c r="B290" s="90">
        <v>2</v>
      </c>
      <c r="C290" s="114">
        <v>0.0013492257203121102</v>
      </c>
      <c r="D290" s="90" t="s">
        <v>2081</v>
      </c>
      <c r="E290" s="90" t="b">
        <v>0</v>
      </c>
      <c r="F290" s="90" t="b">
        <v>0</v>
      </c>
      <c r="G290" s="90" t="b">
        <v>0</v>
      </c>
    </row>
    <row r="291" spans="1:7" ht="15">
      <c r="A291" s="87" t="s">
        <v>2030</v>
      </c>
      <c r="B291" s="90">
        <v>2</v>
      </c>
      <c r="C291" s="114">
        <v>0.0013492257203121102</v>
      </c>
      <c r="D291" s="90" t="s">
        <v>2081</v>
      </c>
      <c r="E291" s="90" t="b">
        <v>0</v>
      </c>
      <c r="F291" s="90" t="b">
        <v>0</v>
      </c>
      <c r="G291" s="90" t="b">
        <v>0</v>
      </c>
    </row>
    <row r="292" spans="1:7" ht="15">
      <c r="A292" s="87" t="s">
        <v>2031</v>
      </c>
      <c r="B292" s="90">
        <v>2</v>
      </c>
      <c r="C292" s="114">
        <v>0.0013492257203121102</v>
      </c>
      <c r="D292" s="90" t="s">
        <v>2081</v>
      </c>
      <c r="E292" s="90" t="b">
        <v>0</v>
      </c>
      <c r="F292" s="90" t="b">
        <v>0</v>
      </c>
      <c r="G292" s="90" t="b">
        <v>0</v>
      </c>
    </row>
    <row r="293" spans="1:7" ht="15">
      <c r="A293" s="87" t="s">
        <v>2032</v>
      </c>
      <c r="B293" s="90">
        <v>2</v>
      </c>
      <c r="C293" s="114">
        <v>0.0013492257203121102</v>
      </c>
      <c r="D293" s="90" t="s">
        <v>2081</v>
      </c>
      <c r="E293" s="90" t="b">
        <v>0</v>
      </c>
      <c r="F293" s="90" t="b">
        <v>0</v>
      </c>
      <c r="G293" s="90" t="b">
        <v>0</v>
      </c>
    </row>
    <row r="294" spans="1:7" ht="15">
      <c r="A294" s="87" t="s">
        <v>2033</v>
      </c>
      <c r="B294" s="90">
        <v>2</v>
      </c>
      <c r="C294" s="114">
        <v>0.0013492257203121102</v>
      </c>
      <c r="D294" s="90" t="s">
        <v>2081</v>
      </c>
      <c r="E294" s="90" t="b">
        <v>0</v>
      </c>
      <c r="F294" s="90" t="b">
        <v>0</v>
      </c>
      <c r="G294" s="90" t="b">
        <v>0</v>
      </c>
    </row>
    <row r="295" spans="1:7" ht="15">
      <c r="A295" s="87" t="s">
        <v>2034</v>
      </c>
      <c r="B295" s="90">
        <v>2</v>
      </c>
      <c r="C295" s="114">
        <v>0.0013492257203121102</v>
      </c>
      <c r="D295" s="90" t="s">
        <v>2081</v>
      </c>
      <c r="E295" s="90" t="b">
        <v>0</v>
      </c>
      <c r="F295" s="90" t="b">
        <v>0</v>
      </c>
      <c r="G295" s="90" t="b">
        <v>0</v>
      </c>
    </row>
    <row r="296" spans="1:7" ht="15">
      <c r="A296" s="87" t="s">
        <v>2035</v>
      </c>
      <c r="B296" s="90">
        <v>2</v>
      </c>
      <c r="C296" s="114">
        <v>0.0013492257203121102</v>
      </c>
      <c r="D296" s="90" t="s">
        <v>2081</v>
      </c>
      <c r="E296" s="90" t="b">
        <v>0</v>
      </c>
      <c r="F296" s="90" t="b">
        <v>0</v>
      </c>
      <c r="G296" s="90" t="b">
        <v>0</v>
      </c>
    </row>
    <row r="297" spans="1:7" ht="15">
      <c r="A297" s="87" t="s">
        <v>2036</v>
      </c>
      <c r="B297" s="90">
        <v>2</v>
      </c>
      <c r="C297" s="114">
        <v>0.0015503817481530599</v>
      </c>
      <c r="D297" s="90" t="s">
        <v>2081</v>
      </c>
      <c r="E297" s="90" t="b">
        <v>0</v>
      </c>
      <c r="F297" s="90" t="b">
        <v>0</v>
      </c>
      <c r="G297" s="90" t="b">
        <v>0</v>
      </c>
    </row>
    <row r="298" spans="1:7" ht="15">
      <c r="A298" s="87" t="s">
        <v>2037</v>
      </c>
      <c r="B298" s="90">
        <v>2</v>
      </c>
      <c r="C298" s="114">
        <v>0.0015503817481530599</v>
      </c>
      <c r="D298" s="90" t="s">
        <v>2081</v>
      </c>
      <c r="E298" s="90" t="b">
        <v>0</v>
      </c>
      <c r="F298" s="90" t="b">
        <v>0</v>
      </c>
      <c r="G298" s="90" t="b">
        <v>0</v>
      </c>
    </row>
    <row r="299" spans="1:7" ht="15">
      <c r="A299" s="87" t="s">
        <v>2038</v>
      </c>
      <c r="B299" s="90">
        <v>2</v>
      </c>
      <c r="C299" s="114">
        <v>0.0015503817481530599</v>
      </c>
      <c r="D299" s="90" t="s">
        <v>2081</v>
      </c>
      <c r="E299" s="90" t="b">
        <v>0</v>
      </c>
      <c r="F299" s="90" t="b">
        <v>0</v>
      </c>
      <c r="G299" s="90" t="b">
        <v>0</v>
      </c>
    </row>
    <row r="300" spans="1:7" ht="15">
      <c r="A300" s="87" t="s">
        <v>2039</v>
      </c>
      <c r="B300" s="90">
        <v>2</v>
      </c>
      <c r="C300" s="114">
        <v>0.0013492257203121102</v>
      </c>
      <c r="D300" s="90" t="s">
        <v>2081</v>
      </c>
      <c r="E300" s="90" t="b">
        <v>1</v>
      </c>
      <c r="F300" s="90" t="b">
        <v>0</v>
      </c>
      <c r="G300" s="90" t="b">
        <v>0</v>
      </c>
    </row>
    <row r="301" spans="1:7" ht="15">
      <c r="A301" s="87" t="s">
        <v>1527</v>
      </c>
      <c r="B301" s="90">
        <v>2</v>
      </c>
      <c r="C301" s="114">
        <v>0.0013492257203121102</v>
      </c>
      <c r="D301" s="90" t="s">
        <v>2081</v>
      </c>
      <c r="E301" s="90" t="b">
        <v>0</v>
      </c>
      <c r="F301" s="90" t="b">
        <v>0</v>
      </c>
      <c r="G301" s="90" t="b">
        <v>0</v>
      </c>
    </row>
    <row r="302" spans="1:7" ht="15">
      <c r="A302" s="87" t="s">
        <v>2040</v>
      </c>
      <c r="B302" s="90">
        <v>2</v>
      </c>
      <c r="C302" s="114">
        <v>0.0013492257203121102</v>
      </c>
      <c r="D302" s="90" t="s">
        <v>2081</v>
      </c>
      <c r="E302" s="90" t="b">
        <v>0</v>
      </c>
      <c r="F302" s="90" t="b">
        <v>1</v>
      </c>
      <c r="G302" s="90" t="b">
        <v>0</v>
      </c>
    </row>
    <row r="303" spans="1:7" ht="15">
      <c r="A303" s="87" t="s">
        <v>2041</v>
      </c>
      <c r="B303" s="90">
        <v>2</v>
      </c>
      <c r="C303" s="114">
        <v>0.0013492257203121102</v>
      </c>
      <c r="D303" s="90" t="s">
        <v>2081</v>
      </c>
      <c r="E303" s="90" t="b">
        <v>0</v>
      </c>
      <c r="F303" s="90" t="b">
        <v>0</v>
      </c>
      <c r="G303" s="90" t="b">
        <v>0</v>
      </c>
    </row>
    <row r="304" spans="1:7" ht="15">
      <c r="A304" s="87" t="s">
        <v>1480</v>
      </c>
      <c r="B304" s="90">
        <v>2</v>
      </c>
      <c r="C304" s="114">
        <v>0.0013492257203121102</v>
      </c>
      <c r="D304" s="90" t="s">
        <v>2081</v>
      </c>
      <c r="E304" s="90" t="b">
        <v>0</v>
      </c>
      <c r="F304" s="90" t="b">
        <v>0</v>
      </c>
      <c r="G304" s="90" t="b">
        <v>0</v>
      </c>
    </row>
    <row r="305" spans="1:7" ht="15">
      <c r="A305" s="87" t="s">
        <v>2042</v>
      </c>
      <c r="B305" s="90">
        <v>2</v>
      </c>
      <c r="C305" s="114">
        <v>0.0013492257203121102</v>
      </c>
      <c r="D305" s="90" t="s">
        <v>2081</v>
      </c>
      <c r="E305" s="90" t="b">
        <v>0</v>
      </c>
      <c r="F305" s="90" t="b">
        <v>0</v>
      </c>
      <c r="G305" s="90" t="b">
        <v>0</v>
      </c>
    </row>
    <row r="306" spans="1:7" ht="15">
      <c r="A306" s="87" t="s">
        <v>2043</v>
      </c>
      <c r="B306" s="90">
        <v>2</v>
      </c>
      <c r="C306" s="114">
        <v>0.0013492257203121102</v>
      </c>
      <c r="D306" s="90" t="s">
        <v>2081</v>
      </c>
      <c r="E306" s="90" t="b">
        <v>0</v>
      </c>
      <c r="F306" s="90" t="b">
        <v>0</v>
      </c>
      <c r="G306" s="90" t="b">
        <v>0</v>
      </c>
    </row>
    <row r="307" spans="1:7" ht="15">
      <c r="A307" s="87" t="s">
        <v>271</v>
      </c>
      <c r="B307" s="90">
        <v>2</v>
      </c>
      <c r="C307" s="114">
        <v>0.0013492257203121102</v>
      </c>
      <c r="D307" s="90" t="s">
        <v>2081</v>
      </c>
      <c r="E307" s="90" t="b">
        <v>0</v>
      </c>
      <c r="F307" s="90" t="b">
        <v>0</v>
      </c>
      <c r="G307" s="90" t="b">
        <v>0</v>
      </c>
    </row>
    <row r="308" spans="1:7" ht="15">
      <c r="A308" s="87" t="s">
        <v>2044</v>
      </c>
      <c r="B308" s="90">
        <v>2</v>
      </c>
      <c r="C308" s="114">
        <v>0.0015503817481530599</v>
      </c>
      <c r="D308" s="90" t="s">
        <v>2081</v>
      </c>
      <c r="E308" s="90" t="b">
        <v>0</v>
      </c>
      <c r="F308" s="90" t="b">
        <v>0</v>
      </c>
      <c r="G308" s="90" t="b">
        <v>0</v>
      </c>
    </row>
    <row r="309" spans="1:7" ht="15">
      <c r="A309" s="87" t="s">
        <v>1537</v>
      </c>
      <c r="B309" s="90">
        <v>2</v>
      </c>
      <c r="C309" s="114">
        <v>0.0013492257203121102</v>
      </c>
      <c r="D309" s="90" t="s">
        <v>2081</v>
      </c>
      <c r="E309" s="90" t="b">
        <v>0</v>
      </c>
      <c r="F309" s="90" t="b">
        <v>0</v>
      </c>
      <c r="G309" s="90" t="b">
        <v>0</v>
      </c>
    </row>
    <row r="310" spans="1:7" ht="15">
      <c r="A310" s="87" t="s">
        <v>1538</v>
      </c>
      <c r="B310" s="90">
        <v>2</v>
      </c>
      <c r="C310" s="114">
        <v>0.0013492257203121102</v>
      </c>
      <c r="D310" s="90" t="s">
        <v>2081</v>
      </c>
      <c r="E310" s="90" t="b">
        <v>1</v>
      </c>
      <c r="F310" s="90" t="b">
        <v>0</v>
      </c>
      <c r="G310" s="90" t="b">
        <v>0</v>
      </c>
    </row>
    <row r="311" spans="1:7" ht="15">
      <c r="A311" s="87" t="s">
        <v>1539</v>
      </c>
      <c r="B311" s="90">
        <v>2</v>
      </c>
      <c r="C311" s="114">
        <v>0.0013492257203121102</v>
      </c>
      <c r="D311" s="90" t="s">
        <v>2081</v>
      </c>
      <c r="E311" s="90" t="b">
        <v>0</v>
      </c>
      <c r="F311" s="90" t="b">
        <v>0</v>
      </c>
      <c r="G311" s="90" t="b">
        <v>0</v>
      </c>
    </row>
    <row r="312" spans="1:7" ht="15">
      <c r="A312" s="87" t="s">
        <v>1540</v>
      </c>
      <c r="B312" s="90">
        <v>2</v>
      </c>
      <c r="C312" s="114">
        <v>0.0013492257203121102</v>
      </c>
      <c r="D312" s="90" t="s">
        <v>2081</v>
      </c>
      <c r="E312" s="90" t="b">
        <v>0</v>
      </c>
      <c r="F312" s="90" t="b">
        <v>0</v>
      </c>
      <c r="G312" s="90" t="b">
        <v>0</v>
      </c>
    </row>
    <row r="313" spans="1:7" ht="15">
      <c r="A313" s="87" t="s">
        <v>1541</v>
      </c>
      <c r="B313" s="90">
        <v>2</v>
      </c>
      <c r="C313" s="114">
        <v>0.0013492257203121102</v>
      </c>
      <c r="D313" s="90" t="s">
        <v>2081</v>
      </c>
      <c r="E313" s="90" t="b">
        <v>0</v>
      </c>
      <c r="F313" s="90" t="b">
        <v>0</v>
      </c>
      <c r="G313" s="90" t="b">
        <v>0</v>
      </c>
    </row>
    <row r="314" spans="1:7" ht="15">
      <c r="A314" s="87" t="s">
        <v>1542</v>
      </c>
      <c r="B314" s="90">
        <v>2</v>
      </c>
      <c r="C314" s="114">
        <v>0.0013492257203121102</v>
      </c>
      <c r="D314" s="90" t="s">
        <v>2081</v>
      </c>
      <c r="E314" s="90" t="b">
        <v>0</v>
      </c>
      <c r="F314" s="90" t="b">
        <v>0</v>
      </c>
      <c r="G314" s="90" t="b">
        <v>0</v>
      </c>
    </row>
    <row r="315" spans="1:7" ht="15">
      <c r="A315" s="87" t="s">
        <v>1543</v>
      </c>
      <c r="B315" s="90">
        <v>2</v>
      </c>
      <c r="C315" s="114">
        <v>0.0013492257203121102</v>
      </c>
      <c r="D315" s="90" t="s">
        <v>2081</v>
      </c>
      <c r="E315" s="90" t="b">
        <v>0</v>
      </c>
      <c r="F315" s="90" t="b">
        <v>1</v>
      </c>
      <c r="G315" s="90" t="b">
        <v>0</v>
      </c>
    </row>
    <row r="316" spans="1:7" ht="15">
      <c r="A316" s="87" t="s">
        <v>1544</v>
      </c>
      <c r="B316" s="90">
        <v>2</v>
      </c>
      <c r="C316" s="114">
        <v>0.0013492257203121102</v>
      </c>
      <c r="D316" s="90" t="s">
        <v>2081</v>
      </c>
      <c r="E316" s="90" t="b">
        <v>0</v>
      </c>
      <c r="F316" s="90" t="b">
        <v>0</v>
      </c>
      <c r="G316" s="90" t="b">
        <v>0</v>
      </c>
    </row>
    <row r="317" spans="1:7" ht="15">
      <c r="A317" s="87" t="s">
        <v>1545</v>
      </c>
      <c r="B317" s="90">
        <v>2</v>
      </c>
      <c r="C317" s="114">
        <v>0.0013492257203121102</v>
      </c>
      <c r="D317" s="90" t="s">
        <v>2081</v>
      </c>
      <c r="E317" s="90" t="b">
        <v>0</v>
      </c>
      <c r="F317" s="90" t="b">
        <v>0</v>
      </c>
      <c r="G317" s="90" t="b">
        <v>0</v>
      </c>
    </row>
    <row r="318" spans="1:7" ht="15">
      <c r="A318" s="87" t="s">
        <v>307</v>
      </c>
      <c r="B318" s="90">
        <v>2</v>
      </c>
      <c r="C318" s="114">
        <v>0.0013492257203121102</v>
      </c>
      <c r="D318" s="90" t="s">
        <v>2081</v>
      </c>
      <c r="E318" s="90" t="b">
        <v>0</v>
      </c>
      <c r="F318" s="90" t="b">
        <v>0</v>
      </c>
      <c r="G318" s="90" t="b">
        <v>0</v>
      </c>
    </row>
    <row r="319" spans="1:7" ht="15">
      <c r="A319" s="87" t="s">
        <v>2045</v>
      </c>
      <c r="B319" s="90">
        <v>2</v>
      </c>
      <c r="C319" s="114">
        <v>0.0013492257203121102</v>
      </c>
      <c r="D319" s="90" t="s">
        <v>2081</v>
      </c>
      <c r="E319" s="90" t="b">
        <v>0</v>
      </c>
      <c r="F319" s="90" t="b">
        <v>0</v>
      </c>
      <c r="G319" s="90" t="b">
        <v>0</v>
      </c>
    </row>
    <row r="320" spans="1:7" ht="15">
      <c r="A320" s="87" t="s">
        <v>2046</v>
      </c>
      <c r="B320" s="90">
        <v>2</v>
      </c>
      <c r="C320" s="114">
        <v>0.0013492257203121102</v>
      </c>
      <c r="D320" s="90" t="s">
        <v>2081</v>
      </c>
      <c r="E320" s="90" t="b">
        <v>0</v>
      </c>
      <c r="F320" s="90" t="b">
        <v>0</v>
      </c>
      <c r="G320" s="90" t="b">
        <v>0</v>
      </c>
    </row>
    <row r="321" spans="1:7" ht="15">
      <c r="A321" s="87" t="s">
        <v>2047</v>
      </c>
      <c r="B321" s="90">
        <v>2</v>
      </c>
      <c r="C321" s="114">
        <v>0.0013492257203121102</v>
      </c>
      <c r="D321" s="90" t="s">
        <v>2081</v>
      </c>
      <c r="E321" s="90" t="b">
        <v>0</v>
      </c>
      <c r="F321" s="90" t="b">
        <v>0</v>
      </c>
      <c r="G321" s="90" t="b">
        <v>0</v>
      </c>
    </row>
    <row r="322" spans="1:7" ht="15">
      <c r="A322" s="87" t="s">
        <v>2048</v>
      </c>
      <c r="B322" s="90">
        <v>2</v>
      </c>
      <c r="C322" s="114">
        <v>0.0013492257203121102</v>
      </c>
      <c r="D322" s="90" t="s">
        <v>2081</v>
      </c>
      <c r="E322" s="90" t="b">
        <v>0</v>
      </c>
      <c r="F322" s="90" t="b">
        <v>0</v>
      </c>
      <c r="G322" s="90" t="b">
        <v>0</v>
      </c>
    </row>
    <row r="323" spans="1:7" ht="15">
      <c r="A323" s="87" t="s">
        <v>2049</v>
      </c>
      <c r="B323" s="90">
        <v>2</v>
      </c>
      <c r="C323" s="114">
        <v>0.0013492257203121102</v>
      </c>
      <c r="D323" s="90" t="s">
        <v>2081</v>
      </c>
      <c r="E323" s="90" t="b">
        <v>0</v>
      </c>
      <c r="F323" s="90" t="b">
        <v>0</v>
      </c>
      <c r="G323" s="90" t="b">
        <v>0</v>
      </c>
    </row>
    <row r="324" spans="1:7" ht="15">
      <c r="A324" s="87" t="s">
        <v>2050</v>
      </c>
      <c r="B324" s="90">
        <v>2</v>
      </c>
      <c r="C324" s="114">
        <v>0.0013492257203121102</v>
      </c>
      <c r="D324" s="90" t="s">
        <v>2081</v>
      </c>
      <c r="E324" s="90" t="b">
        <v>0</v>
      </c>
      <c r="F324" s="90" t="b">
        <v>0</v>
      </c>
      <c r="G324" s="90" t="b">
        <v>0</v>
      </c>
    </row>
    <row r="325" spans="1:7" ht="15">
      <c r="A325" s="87" t="s">
        <v>2051</v>
      </c>
      <c r="B325" s="90">
        <v>2</v>
      </c>
      <c r="C325" s="114">
        <v>0.0013492257203121102</v>
      </c>
      <c r="D325" s="90" t="s">
        <v>2081</v>
      </c>
      <c r="E325" s="90" t="b">
        <v>0</v>
      </c>
      <c r="F325" s="90" t="b">
        <v>0</v>
      </c>
      <c r="G325" s="90" t="b">
        <v>0</v>
      </c>
    </row>
    <row r="326" spans="1:7" ht="15">
      <c r="A326" s="87" t="s">
        <v>2052</v>
      </c>
      <c r="B326" s="90">
        <v>2</v>
      </c>
      <c r="C326" s="114">
        <v>0.0013492257203121102</v>
      </c>
      <c r="D326" s="90" t="s">
        <v>2081</v>
      </c>
      <c r="E326" s="90" t="b">
        <v>0</v>
      </c>
      <c r="F326" s="90" t="b">
        <v>0</v>
      </c>
      <c r="G326" s="90" t="b">
        <v>0</v>
      </c>
    </row>
    <row r="327" spans="1:7" ht="15">
      <c r="A327" s="87" t="s">
        <v>2053</v>
      </c>
      <c r="B327" s="90">
        <v>2</v>
      </c>
      <c r="C327" s="114">
        <v>0.0013492257203121102</v>
      </c>
      <c r="D327" s="90" t="s">
        <v>2081</v>
      </c>
      <c r="E327" s="90" t="b">
        <v>0</v>
      </c>
      <c r="F327" s="90" t="b">
        <v>0</v>
      </c>
      <c r="G327" s="90" t="b">
        <v>0</v>
      </c>
    </row>
    <row r="328" spans="1:7" ht="15">
      <c r="A328" s="87" t="s">
        <v>2054</v>
      </c>
      <c r="B328" s="90">
        <v>2</v>
      </c>
      <c r="C328" s="114">
        <v>0.0013492257203121102</v>
      </c>
      <c r="D328" s="90" t="s">
        <v>2081</v>
      </c>
      <c r="E328" s="90" t="b">
        <v>0</v>
      </c>
      <c r="F328" s="90" t="b">
        <v>0</v>
      </c>
      <c r="G328" s="90" t="b">
        <v>0</v>
      </c>
    </row>
    <row r="329" spans="1:7" ht="15">
      <c r="A329" s="87" t="s">
        <v>2055</v>
      </c>
      <c r="B329" s="90">
        <v>2</v>
      </c>
      <c r="C329" s="114">
        <v>0.0013492257203121102</v>
      </c>
      <c r="D329" s="90" t="s">
        <v>2081</v>
      </c>
      <c r="E329" s="90" t="b">
        <v>0</v>
      </c>
      <c r="F329" s="90" t="b">
        <v>0</v>
      </c>
      <c r="G329" s="90" t="b">
        <v>0</v>
      </c>
    </row>
    <row r="330" spans="1:7" ht="15">
      <c r="A330" s="87" t="s">
        <v>2056</v>
      </c>
      <c r="B330" s="90">
        <v>2</v>
      </c>
      <c r="C330" s="114">
        <v>0.0013492257203121102</v>
      </c>
      <c r="D330" s="90" t="s">
        <v>2081</v>
      </c>
      <c r="E330" s="90" t="b">
        <v>0</v>
      </c>
      <c r="F330" s="90" t="b">
        <v>0</v>
      </c>
      <c r="G330" s="90" t="b">
        <v>0</v>
      </c>
    </row>
    <row r="331" spans="1:7" ht="15">
      <c r="A331" s="87" t="s">
        <v>2057</v>
      </c>
      <c r="B331" s="90">
        <v>2</v>
      </c>
      <c r="C331" s="114">
        <v>0.0013492257203121102</v>
      </c>
      <c r="D331" s="90" t="s">
        <v>2081</v>
      </c>
      <c r="E331" s="90" t="b">
        <v>0</v>
      </c>
      <c r="F331" s="90" t="b">
        <v>0</v>
      </c>
      <c r="G331" s="90" t="b">
        <v>0</v>
      </c>
    </row>
    <row r="332" spans="1:7" ht="15">
      <c r="A332" s="87" t="s">
        <v>2058</v>
      </c>
      <c r="B332" s="90">
        <v>2</v>
      </c>
      <c r="C332" s="114">
        <v>0.0013492257203121102</v>
      </c>
      <c r="D332" s="90" t="s">
        <v>2081</v>
      </c>
      <c r="E332" s="90" t="b">
        <v>0</v>
      </c>
      <c r="F332" s="90" t="b">
        <v>0</v>
      </c>
      <c r="G332" s="90" t="b">
        <v>0</v>
      </c>
    </row>
    <row r="333" spans="1:7" ht="15">
      <c r="A333" s="87" t="s">
        <v>2059</v>
      </c>
      <c r="B333" s="90">
        <v>2</v>
      </c>
      <c r="C333" s="114">
        <v>0.0013492257203121102</v>
      </c>
      <c r="D333" s="90" t="s">
        <v>2081</v>
      </c>
      <c r="E333" s="90" t="b">
        <v>0</v>
      </c>
      <c r="F333" s="90" t="b">
        <v>0</v>
      </c>
      <c r="G333" s="90" t="b">
        <v>0</v>
      </c>
    </row>
    <row r="334" spans="1:7" ht="15">
      <c r="A334" s="87" t="s">
        <v>2060</v>
      </c>
      <c r="B334" s="90">
        <v>2</v>
      </c>
      <c r="C334" s="114">
        <v>0.0013492257203121102</v>
      </c>
      <c r="D334" s="90" t="s">
        <v>2081</v>
      </c>
      <c r="E334" s="90" t="b">
        <v>0</v>
      </c>
      <c r="F334" s="90" t="b">
        <v>0</v>
      </c>
      <c r="G334" s="90" t="b">
        <v>0</v>
      </c>
    </row>
    <row r="335" spans="1:7" ht="15">
      <c r="A335" s="87" t="s">
        <v>2061</v>
      </c>
      <c r="B335" s="90">
        <v>2</v>
      </c>
      <c r="C335" s="114">
        <v>0.0013492257203121102</v>
      </c>
      <c r="D335" s="90" t="s">
        <v>2081</v>
      </c>
      <c r="E335" s="90" t="b">
        <v>0</v>
      </c>
      <c r="F335" s="90" t="b">
        <v>0</v>
      </c>
      <c r="G335" s="90" t="b">
        <v>0</v>
      </c>
    </row>
    <row r="336" spans="1:7" ht="15">
      <c r="A336" s="87" t="s">
        <v>2062</v>
      </c>
      <c r="B336" s="90">
        <v>2</v>
      </c>
      <c r="C336" s="114">
        <v>0.0015503817481530599</v>
      </c>
      <c r="D336" s="90" t="s">
        <v>2081</v>
      </c>
      <c r="E336" s="90" t="b">
        <v>0</v>
      </c>
      <c r="F336" s="90" t="b">
        <v>0</v>
      </c>
      <c r="G336" s="90" t="b">
        <v>0</v>
      </c>
    </row>
    <row r="337" spans="1:7" ht="15">
      <c r="A337" s="87" t="s">
        <v>2063</v>
      </c>
      <c r="B337" s="90">
        <v>2</v>
      </c>
      <c r="C337" s="114">
        <v>0.0013492257203121102</v>
      </c>
      <c r="D337" s="90" t="s">
        <v>2081</v>
      </c>
      <c r="E337" s="90" t="b">
        <v>0</v>
      </c>
      <c r="F337" s="90" t="b">
        <v>0</v>
      </c>
      <c r="G337" s="90" t="b">
        <v>0</v>
      </c>
    </row>
    <row r="338" spans="1:7" ht="15">
      <c r="A338" s="87" t="s">
        <v>2064</v>
      </c>
      <c r="B338" s="90">
        <v>2</v>
      </c>
      <c r="C338" s="114">
        <v>0.0013492257203121102</v>
      </c>
      <c r="D338" s="90" t="s">
        <v>2081</v>
      </c>
      <c r="E338" s="90" t="b">
        <v>0</v>
      </c>
      <c r="F338" s="90" t="b">
        <v>0</v>
      </c>
      <c r="G338" s="90" t="b">
        <v>0</v>
      </c>
    </row>
    <row r="339" spans="1:7" ht="15">
      <c r="A339" s="87" t="s">
        <v>2065</v>
      </c>
      <c r="B339" s="90">
        <v>2</v>
      </c>
      <c r="C339" s="114">
        <v>0.0013492257203121102</v>
      </c>
      <c r="D339" s="90" t="s">
        <v>2081</v>
      </c>
      <c r="E339" s="90" t="b">
        <v>0</v>
      </c>
      <c r="F339" s="90" t="b">
        <v>1</v>
      </c>
      <c r="G339" s="90" t="b">
        <v>0</v>
      </c>
    </row>
    <row r="340" spans="1:7" ht="15">
      <c r="A340" s="87" t="s">
        <v>2066</v>
      </c>
      <c r="B340" s="90">
        <v>2</v>
      </c>
      <c r="C340" s="114">
        <v>0.0013492257203121102</v>
      </c>
      <c r="D340" s="90" t="s">
        <v>2081</v>
      </c>
      <c r="E340" s="90" t="b">
        <v>0</v>
      </c>
      <c r="F340" s="90" t="b">
        <v>0</v>
      </c>
      <c r="G340" s="90" t="b">
        <v>0</v>
      </c>
    </row>
    <row r="341" spans="1:7" ht="15">
      <c r="A341" s="87" t="s">
        <v>2067</v>
      </c>
      <c r="B341" s="90">
        <v>2</v>
      </c>
      <c r="C341" s="114">
        <v>0.0013492257203121102</v>
      </c>
      <c r="D341" s="90" t="s">
        <v>2081</v>
      </c>
      <c r="E341" s="90" t="b">
        <v>0</v>
      </c>
      <c r="F341" s="90" t="b">
        <v>0</v>
      </c>
      <c r="G341" s="90" t="b">
        <v>0</v>
      </c>
    </row>
    <row r="342" spans="1:7" ht="15">
      <c r="A342" s="87" t="s">
        <v>2068</v>
      </c>
      <c r="B342" s="90">
        <v>2</v>
      </c>
      <c r="C342" s="114">
        <v>0.0013492257203121102</v>
      </c>
      <c r="D342" s="90" t="s">
        <v>2081</v>
      </c>
      <c r="E342" s="90" t="b">
        <v>0</v>
      </c>
      <c r="F342" s="90" t="b">
        <v>0</v>
      </c>
      <c r="G342" s="90" t="b">
        <v>0</v>
      </c>
    </row>
    <row r="343" spans="1:7" ht="15">
      <c r="A343" s="87" t="s">
        <v>2069</v>
      </c>
      <c r="B343" s="90">
        <v>2</v>
      </c>
      <c r="C343" s="114">
        <v>0.0013492257203121102</v>
      </c>
      <c r="D343" s="90" t="s">
        <v>2081</v>
      </c>
      <c r="E343" s="90" t="b">
        <v>0</v>
      </c>
      <c r="F343" s="90" t="b">
        <v>0</v>
      </c>
      <c r="G343" s="90" t="b">
        <v>0</v>
      </c>
    </row>
    <row r="344" spans="1:7" ht="15">
      <c r="A344" s="87" t="s">
        <v>2070</v>
      </c>
      <c r="B344" s="90">
        <v>2</v>
      </c>
      <c r="C344" s="114">
        <v>0.0013492257203121102</v>
      </c>
      <c r="D344" s="90" t="s">
        <v>2081</v>
      </c>
      <c r="E344" s="90" t="b">
        <v>0</v>
      </c>
      <c r="F344" s="90" t="b">
        <v>0</v>
      </c>
      <c r="G344" s="90" t="b">
        <v>0</v>
      </c>
    </row>
    <row r="345" spans="1:7" ht="15">
      <c r="A345" s="87" t="s">
        <v>2071</v>
      </c>
      <c r="B345" s="90">
        <v>2</v>
      </c>
      <c r="C345" s="114">
        <v>0.0013492257203121102</v>
      </c>
      <c r="D345" s="90" t="s">
        <v>2081</v>
      </c>
      <c r="E345" s="90" t="b">
        <v>0</v>
      </c>
      <c r="F345" s="90" t="b">
        <v>0</v>
      </c>
      <c r="G345" s="90" t="b">
        <v>0</v>
      </c>
    </row>
    <row r="346" spans="1:7" ht="15">
      <c r="A346" s="87" t="s">
        <v>2072</v>
      </c>
      <c r="B346" s="90">
        <v>2</v>
      </c>
      <c r="C346" s="114">
        <v>0.0013492257203121102</v>
      </c>
      <c r="D346" s="90" t="s">
        <v>2081</v>
      </c>
      <c r="E346" s="90" t="b">
        <v>0</v>
      </c>
      <c r="F346" s="90" t="b">
        <v>0</v>
      </c>
      <c r="G346" s="90" t="b">
        <v>0</v>
      </c>
    </row>
    <row r="347" spans="1:7" ht="15">
      <c r="A347" s="87" t="s">
        <v>2073</v>
      </c>
      <c r="B347" s="90">
        <v>2</v>
      </c>
      <c r="C347" s="114">
        <v>0.0013492257203121102</v>
      </c>
      <c r="D347" s="90" t="s">
        <v>2081</v>
      </c>
      <c r="E347" s="90" t="b">
        <v>0</v>
      </c>
      <c r="F347" s="90" t="b">
        <v>0</v>
      </c>
      <c r="G347" s="90" t="b">
        <v>0</v>
      </c>
    </row>
    <row r="348" spans="1:7" ht="15">
      <c r="A348" s="87" t="s">
        <v>2074</v>
      </c>
      <c r="B348" s="90">
        <v>2</v>
      </c>
      <c r="C348" s="114">
        <v>0.0013492257203121102</v>
      </c>
      <c r="D348" s="90" t="s">
        <v>2081</v>
      </c>
      <c r="E348" s="90" t="b">
        <v>0</v>
      </c>
      <c r="F348" s="90" t="b">
        <v>0</v>
      </c>
      <c r="G348" s="90" t="b">
        <v>0</v>
      </c>
    </row>
    <row r="349" spans="1:7" ht="15">
      <c r="A349" s="87" t="s">
        <v>2075</v>
      </c>
      <c r="B349" s="90">
        <v>2</v>
      </c>
      <c r="C349" s="114">
        <v>0.0013492257203121102</v>
      </c>
      <c r="D349" s="90" t="s">
        <v>2081</v>
      </c>
      <c r="E349" s="90" t="b">
        <v>0</v>
      </c>
      <c r="F349" s="90" t="b">
        <v>0</v>
      </c>
      <c r="G349" s="90" t="b">
        <v>0</v>
      </c>
    </row>
    <row r="350" spans="1:7" ht="15">
      <c r="A350" s="87" t="s">
        <v>1495</v>
      </c>
      <c r="B350" s="90">
        <v>20</v>
      </c>
      <c r="C350" s="114">
        <v>0</v>
      </c>
      <c r="D350" s="90" t="s">
        <v>1377</v>
      </c>
      <c r="E350" s="90" t="b">
        <v>0</v>
      </c>
      <c r="F350" s="90" t="b">
        <v>0</v>
      </c>
      <c r="G350" s="90" t="b">
        <v>0</v>
      </c>
    </row>
    <row r="351" spans="1:7" ht="15">
      <c r="A351" s="87" t="s">
        <v>1496</v>
      </c>
      <c r="B351" s="90">
        <v>18</v>
      </c>
      <c r="C351" s="114">
        <v>0.0011064390714434875</v>
      </c>
      <c r="D351" s="90" t="s">
        <v>1377</v>
      </c>
      <c r="E351" s="90" t="b">
        <v>0</v>
      </c>
      <c r="F351" s="90" t="b">
        <v>0</v>
      </c>
      <c r="G351" s="90" t="b">
        <v>0</v>
      </c>
    </row>
    <row r="352" spans="1:7" ht="15">
      <c r="A352" s="87" t="s">
        <v>274</v>
      </c>
      <c r="B352" s="90">
        <v>15</v>
      </c>
      <c r="C352" s="114">
        <v>0.004031243791772815</v>
      </c>
      <c r="D352" s="90" t="s">
        <v>1377</v>
      </c>
      <c r="E352" s="90" t="b">
        <v>0</v>
      </c>
      <c r="F352" s="90" t="b">
        <v>0</v>
      </c>
      <c r="G352" s="90" t="b">
        <v>0</v>
      </c>
    </row>
    <row r="353" spans="1:7" ht="15">
      <c r="A353" s="87" t="s">
        <v>1505</v>
      </c>
      <c r="B353" s="90">
        <v>14</v>
      </c>
      <c r="C353" s="114">
        <v>0.015893135741204215</v>
      </c>
      <c r="D353" s="90" t="s">
        <v>1377</v>
      </c>
      <c r="E353" s="90" t="b">
        <v>0</v>
      </c>
      <c r="F353" s="90" t="b">
        <v>0</v>
      </c>
      <c r="G353" s="90" t="b">
        <v>0</v>
      </c>
    </row>
    <row r="354" spans="1:7" ht="15">
      <c r="A354" s="87" t="s">
        <v>1506</v>
      </c>
      <c r="B354" s="90">
        <v>14</v>
      </c>
      <c r="C354" s="114">
        <v>0.015893135741204215</v>
      </c>
      <c r="D354" s="90" t="s">
        <v>1377</v>
      </c>
      <c r="E354" s="90" t="b">
        <v>1</v>
      </c>
      <c r="F354" s="90" t="b">
        <v>0</v>
      </c>
      <c r="G354" s="90" t="b">
        <v>0</v>
      </c>
    </row>
    <row r="355" spans="1:7" ht="15">
      <c r="A355" s="87" t="s">
        <v>273</v>
      </c>
      <c r="B355" s="90">
        <v>10</v>
      </c>
      <c r="C355" s="114">
        <v>0.0072972146846290295</v>
      </c>
      <c r="D355" s="90" t="s">
        <v>1377</v>
      </c>
      <c r="E355" s="90" t="b">
        <v>0</v>
      </c>
      <c r="F355" s="90" t="b">
        <v>0</v>
      </c>
      <c r="G355" s="90" t="b">
        <v>0</v>
      </c>
    </row>
    <row r="356" spans="1:7" ht="15">
      <c r="A356" s="87" t="s">
        <v>1507</v>
      </c>
      <c r="B356" s="90">
        <v>10</v>
      </c>
      <c r="C356" s="114">
        <v>0.008495054751662411</v>
      </c>
      <c r="D356" s="90" t="s">
        <v>1377</v>
      </c>
      <c r="E356" s="90" t="b">
        <v>0</v>
      </c>
      <c r="F356" s="90" t="b">
        <v>0</v>
      </c>
      <c r="G356" s="90" t="b">
        <v>0</v>
      </c>
    </row>
    <row r="357" spans="1:7" ht="15">
      <c r="A357" s="87" t="s">
        <v>1508</v>
      </c>
      <c r="B357" s="90">
        <v>9</v>
      </c>
      <c r="C357" s="114">
        <v>0.00764554927649617</v>
      </c>
      <c r="D357" s="90" t="s">
        <v>1377</v>
      </c>
      <c r="E357" s="90" t="b">
        <v>0</v>
      </c>
      <c r="F357" s="90" t="b">
        <v>0</v>
      </c>
      <c r="G357" s="90" t="b">
        <v>0</v>
      </c>
    </row>
    <row r="358" spans="1:7" ht="15">
      <c r="A358" s="87" t="s">
        <v>1509</v>
      </c>
      <c r="B358" s="90">
        <v>8</v>
      </c>
      <c r="C358" s="114">
        <v>0.007867300815934774</v>
      </c>
      <c r="D358" s="90" t="s">
        <v>1377</v>
      </c>
      <c r="E358" s="90" t="b">
        <v>0</v>
      </c>
      <c r="F358" s="90" t="b">
        <v>0</v>
      </c>
      <c r="G358" s="90" t="b">
        <v>0</v>
      </c>
    </row>
    <row r="359" spans="1:7" ht="15">
      <c r="A359" s="87" t="s">
        <v>1510</v>
      </c>
      <c r="B359" s="90">
        <v>8</v>
      </c>
      <c r="C359" s="114">
        <v>0.007867300815934774</v>
      </c>
      <c r="D359" s="90" t="s">
        <v>1377</v>
      </c>
      <c r="E359" s="90" t="b">
        <v>0</v>
      </c>
      <c r="F359" s="90" t="b">
        <v>0</v>
      </c>
      <c r="G359" s="90" t="b">
        <v>0</v>
      </c>
    </row>
    <row r="360" spans="1:7" ht="15">
      <c r="A360" s="87" t="s">
        <v>1826</v>
      </c>
      <c r="B360" s="90">
        <v>8</v>
      </c>
      <c r="C360" s="114">
        <v>0.007867300815934774</v>
      </c>
      <c r="D360" s="90" t="s">
        <v>1377</v>
      </c>
      <c r="E360" s="90" t="b">
        <v>0</v>
      </c>
      <c r="F360" s="90" t="b">
        <v>0</v>
      </c>
      <c r="G360" s="90" t="b">
        <v>0</v>
      </c>
    </row>
    <row r="361" spans="1:7" ht="15">
      <c r="A361" s="87" t="s">
        <v>1827</v>
      </c>
      <c r="B361" s="90">
        <v>8</v>
      </c>
      <c r="C361" s="114">
        <v>0.007867300815934774</v>
      </c>
      <c r="D361" s="90" t="s">
        <v>1377</v>
      </c>
      <c r="E361" s="90" t="b">
        <v>0</v>
      </c>
      <c r="F361" s="90" t="b">
        <v>0</v>
      </c>
      <c r="G361" s="90" t="b">
        <v>0</v>
      </c>
    </row>
    <row r="362" spans="1:7" ht="15">
      <c r="A362" s="87" t="s">
        <v>1828</v>
      </c>
      <c r="B362" s="90">
        <v>8</v>
      </c>
      <c r="C362" s="114">
        <v>0.007867300815934774</v>
      </c>
      <c r="D362" s="90" t="s">
        <v>1377</v>
      </c>
      <c r="E362" s="90" t="b">
        <v>0</v>
      </c>
      <c r="F362" s="90" t="b">
        <v>0</v>
      </c>
      <c r="G362" s="90" t="b">
        <v>0</v>
      </c>
    </row>
    <row r="363" spans="1:7" ht="15">
      <c r="A363" s="87" t="s">
        <v>1832</v>
      </c>
      <c r="B363" s="90">
        <v>7</v>
      </c>
      <c r="C363" s="114">
        <v>0.007946567870602108</v>
      </c>
      <c r="D363" s="90" t="s">
        <v>1377</v>
      </c>
      <c r="E363" s="90" t="b">
        <v>0</v>
      </c>
      <c r="F363" s="90" t="b">
        <v>0</v>
      </c>
      <c r="G363" s="90" t="b">
        <v>0</v>
      </c>
    </row>
    <row r="364" spans="1:7" ht="15">
      <c r="A364" s="87" t="s">
        <v>1833</v>
      </c>
      <c r="B364" s="90">
        <v>7</v>
      </c>
      <c r="C364" s="114">
        <v>0.007946567870602108</v>
      </c>
      <c r="D364" s="90" t="s">
        <v>1377</v>
      </c>
      <c r="E364" s="90" t="b">
        <v>0</v>
      </c>
      <c r="F364" s="90" t="b">
        <v>0</v>
      </c>
      <c r="G364" s="90" t="b">
        <v>0</v>
      </c>
    </row>
    <row r="365" spans="1:7" ht="15">
      <c r="A365" s="87" t="s">
        <v>1834</v>
      </c>
      <c r="B365" s="90">
        <v>7</v>
      </c>
      <c r="C365" s="114">
        <v>0.007946567870602108</v>
      </c>
      <c r="D365" s="90" t="s">
        <v>1377</v>
      </c>
      <c r="E365" s="90" t="b">
        <v>0</v>
      </c>
      <c r="F365" s="90" t="b">
        <v>0</v>
      </c>
      <c r="G365" s="90" t="b">
        <v>0</v>
      </c>
    </row>
    <row r="366" spans="1:7" ht="15">
      <c r="A366" s="87" t="s">
        <v>1522</v>
      </c>
      <c r="B366" s="90">
        <v>7</v>
      </c>
      <c r="C366" s="114">
        <v>0.007946567870602108</v>
      </c>
      <c r="D366" s="90" t="s">
        <v>1377</v>
      </c>
      <c r="E366" s="90" t="b">
        <v>1</v>
      </c>
      <c r="F366" s="90" t="b">
        <v>0</v>
      </c>
      <c r="G366" s="90" t="b">
        <v>0</v>
      </c>
    </row>
    <row r="367" spans="1:7" ht="15">
      <c r="A367" s="87" t="s">
        <v>1821</v>
      </c>
      <c r="B367" s="90">
        <v>7</v>
      </c>
      <c r="C367" s="114">
        <v>0.007946567870602108</v>
      </c>
      <c r="D367" s="90" t="s">
        <v>1377</v>
      </c>
      <c r="E367" s="90" t="b">
        <v>0</v>
      </c>
      <c r="F367" s="90" t="b">
        <v>0</v>
      </c>
      <c r="G367" s="90" t="b">
        <v>0</v>
      </c>
    </row>
    <row r="368" spans="1:7" ht="15">
      <c r="A368" s="87" t="s">
        <v>1835</v>
      </c>
      <c r="B368" s="90">
        <v>7</v>
      </c>
      <c r="C368" s="114">
        <v>0.007946567870602108</v>
      </c>
      <c r="D368" s="90" t="s">
        <v>1377</v>
      </c>
      <c r="E368" s="90" t="b">
        <v>0</v>
      </c>
      <c r="F368" s="90" t="b">
        <v>1</v>
      </c>
      <c r="G368" s="90" t="b">
        <v>0</v>
      </c>
    </row>
    <row r="369" spans="1:7" ht="15">
      <c r="A369" s="87" t="s">
        <v>1836</v>
      </c>
      <c r="B369" s="90">
        <v>7</v>
      </c>
      <c r="C369" s="114">
        <v>0.007946567870602108</v>
      </c>
      <c r="D369" s="90" t="s">
        <v>1377</v>
      </c>
      <c r="E369" s="90" t="b">
        <v>0</v>
      </c>
      <c r="F369" s="90" t="b">
        <v>0</v>
      </c>
      <c r="G369" s="90" t="b">
        <v>0</v>
      </c>
    </row>
    <row r="370" spans="1:7" ht="15">
      <c r="A370" s="87" t="s">
        <v>1837</v>
      </c>
      <c r="B370" s="90">
        <v>7</v>
      </c>
      <c r="C370" s="114">
        <v>0.007946567870602108</v>
      </c>
      <c r="D370" s="90" t="s">
        <v>1377</v>
      </c>
      <c r="E370" s="90" t="b">
        <v>0</v>
      </c>
      <c r="F370" s="90" t="b">
        <v>0</v>
      </c>
      <c r="G370" s="90" t="b">
        <v>0</v>
      </c>
    </row>
    <row r="371" spans="1:7" ht="15">
      <c r="A371" s="87" t="s">
        <v>1838</v>
      </c>
      <c r="B371" s="90">
        <v>7</v>
      </c>
      <c r="C371" s="114">
        <v>0.007946567870602108</v>
      </c>
      <c r="D371" s="90" t="s">
        <v>1377</v>
      </c>
      <c r="E371" s="90" t="b">
        <v>0</v>
      </c>
      <c r="F371" s="90" t="b">
        <v>0</v>
      </c>
      <c r="G371" s="90" t="b">
        <v>0</v>
      </c>
    </row>
    <row r="372" spans="1:7" ht="15">
      <c r="A372" s="87" t="s">
        <v>1839</v>
      </c>
      <c r="B372" s="90">
        <v>7</v>
      </c>
      <c r="C372" s="114">
        <v>0.007946567870602108</v>
      </c>
      <c r="D372" s="90" t="s">
        <v>1377</v>
      </c>
      <c r="E372" s="90" t="b">
        <v>0</v>
      </c>
      <c r="F372" s="90" t="b">
        <v>0</v>
      </c>
      <c r="G372" s="90" t="b">
        <v>0</v>
      </c>
    </row>
    <row r="373" spans="1:7" ht="15">
      <c r="A373" s="87" t="s">
        <v>1840</v>
      </c>
      <c r="B373" s="90">
        <v>7</v>
      </c>
      <c r="C373" s="114">
        <v>0.007946567870602108</v>
      </c>
      <c r="D373" s="90" t="s">
        <v>1377</v>
      </c>
      <c r="E373" s="90" t="b">
        <v>0</v>
      </c>
      <c r="F373" s="90" t="b">
        <v>0</v>
      </c>
      <c r="G373" s="90" t="b">
        <v>0</v>
      </c>
    </row>
    <row r="374" spans="1:7" ht="15">
      <c r="A374" s="87" t="s">
        <v>1841</v>
      </c>
      <c r="B374" s="90">
        <v>7</v>
      </c>
      <c r="C374" s="114">
        <v>0.007946567870602108</v>
      </c>
      <c r="D374" s="90" t="s">
        <v>1377</v>
      </c>
      <c r="E374" s="90" t="b">
        <v>0</v>
      </c>
      <c r="F374" s="90" t="b">
        <v>0</v>
      </c>
      <c r="G374" s="90" t="b">
        <v>0</v>
      </c>
    </row>
    <row r="375" spans="1:7" ht="15">
      <c r="A375" s="87" t="s">
        <v>1842</v>
      </c>
      <c r="B375" s="90">
        <v>7</v>
      </c>
      <c r="C375" s="114">
        <v>0.007946567870602108</v>
      </c>
      <c r="D375" s="90" t="s">
        <v>1377</v>
      </c>
      <c r="E375" s="90" t="b">
        <v>0</v>
      </c>
      <c r="F375" s="90" t="b">
        <v>0</v>
      </c>
      <c r="G375" s="90" t="b">
        <v>0</v>
      </c>
    </row>
    <row r="376" spans="1:7" ht="15">
      <c r="A376" s="87" t="s">
        <v>1843</v>
      </c>
      <c r="B376" s="90">
        <v>7</v>
      </c>
      <c r="C376" s="114">
        <v>0.007946567870602108</v>
      </c>
      <c r="D376" s="90" t="s">
        <v>1377</v>
      </c>
      <c r="E376" s="90" t="b">
        <v>0</v>
      </c>
      <c r="F376" s="90" t="b">
        <v>0</v>
      </c>
      <c r="G376" s="90" t="b">
        <v>0</v>
      </c>
    </row>
    <row r="377" spans="1:7" ht="15">
      <c r="A377" s="87" t="s">
        <v>1844</v>
      </c>
      <c r="B377" s="90">
        <v>7</v>
      </c>
      <c r="C377" s="114">
        <v>0.007946567870602108</v>
      </c>
      <c r="D377" s="90" t="s">
        <v>1377</v>
      </c>
      <c r="E377" s="90" t="b">
        <v>0</v>
      </c>
      <c r="F377" s="90" t="b">
        <v>0</v>
      </c>
      <c r="G377" s="90" t="b">
        <v>0</v>
      </c>
    </row>
    <row r="378" spans="1:7" ht="15">
      <c r="A378" s="87" t="s">
        <v>1845</v>
      </c>
      <c r="B378" s="90">
        <v>7</v>
      </c>
      <c r="C378" s="114">
        <v>0.007946567870602108</v>
      </c>
      <c r="D378" s="90" t="s">
        <v>1377</v>
      </c>
      <c r="E378" s="90" t="b">
        <v>0</v>
      </c>
      <c r="F378" s="90" t="b">
        <v>0</v>
      </c>
      <c r="G378" s="90" t="b">
        <v>0</v>
      </c>
    </row>
    <row r="379" spans="1:7" ht="15">
      <c r="A379" s="87" t="s">
        <v>1825</v>
      </c>
      <c r="B379" s="90">
        <v>7</v>
      </c>
      <c r="C379" s="114">
        <v>0.007946567870602108</v>
      </c>
      <c r="D379" s="90" t="s">
        <v>1377</v>
      </c>
      <c r="E379" s="90" t="b">
        <v>0</v>
      </c>
      <c r="F379" s="90" t="b">
        <v>0</v>
      </c>
      <c r="G379" s="90" t="b">
        <v>0</v>
      </c>
    </row>
    <row r="380" spans="1:7" ht="15">
      <c r="A380" s="87" t="s">
        <v>1846</v>
      </c>
      <c r="B380" s="90">
        <v>7</v>
      </c>
      <c r="C380" s="114">
        <v>0.007946567870602108</v>
      </c>
      <c r="D380" s="90" t="s">
        <v>1377</v>
      </c>
      <c r="E380" s="90" t="b">
        <v>0</v>
      </c>
      <c r="F380" s="90" t="b">
        <v>0</v>
      </c>
      <c r="G380" s="90" t="b">
        <v>0</v>
      </c>
    </row>
    <row r="381" spans="1:7" ht="15">
      <c r="A381" s="87" t="s">
        <v>1847</v>
      </c>
      <c r="B381" s="90">
        <v>7</v>
      </c>
      <c r="C381" s="114">
        <v>0.007946567870602108</v>
      </c>
      <c r="D381" s="90" t="s">
        <v>1377</v>
      </c>
      <c r="E381" s="90" t="b">
        <v>1</v>
      </c>
      <c r="F381" s="90" t="b">
        <v>0</v>
      </c>
      <c r="G381" s="90" t="b">
        <v>0</v>
      </c>
    </row>
    <row r="382" spans="1:7" ht="15">
      <c r="A382" s="87" t="s">
        <v>1848</v>
      </c>
      <c r="B382" s="90">
        <v>7</v>
      </c>
      <c r="C382" s="114">
        <v>0.007946567870602108</v>
      </c>
      <c r="D382" s="90" t="s">
        <v>1377</v>
      </c>
      <c r="E382" s="90" t="b">
        <v>0</v>
      </c>
      <c r="F382" s="90" t="b">
        <v>0</v>
      </c>
      <c r="G382" s="90" t="b">
        <v>0</v>
      </c>
    </row>
    <row r="383" spans="1:7" ht="15">
      <c r="A383" s="87" t="s">
        <v>275</v>
      </c>
      <c r="B383" s="90">
        <v>7</v>
      </c>
      <c r="C383" s="114">
        <v>0.007946567870602108</v>
      </c>
      <c r="D383" s="90" t="s">
        <v>1377</v>
      </c>
      <c r="E383" s="90" t="b">
        <v>0</v>
      </c>
      <c r="F383" s="90" t="b">
        <v>0</v>
      </c>
      <c r="G383" s="90" t="b">
        <v>0</v>
      </c>
    </row>
    <row r="384" spans="1:7" ht="15">
      <c r="A384" s="87" t="s">
        <v>1849</v>
      </c>
      <c r="B384" s="90">
        <v>7</v>
      </c>
      <c r="C384" s="114">
        <v>0.007946567870602108</v>
      </c>
      <c r="D384" s="90" t="s">
        <v>1377</v>
      </c>
      <c r="E384" s="90" t="b">
        <v>0</v>
      </c>
      <c r="F384" s="90" t="b">
        <v>0</v>
      </c>
      <c r="G384" s="90" t="b">
        <v>0</v>
      </c>
    </row>
    <row r="385" spans="1:7" ht="15">
      <c r="A385" s="87" t="s">
        <v>308</v>
      </c>
      <c r="B385" s="90">
        <v>3</v>
      </c>
      <c r="C385" s="114">
        <v>0.006295541986124344</v>
      </c>
      <c r="D385" s="90" t="s">
        <v>1377</v>
      </c>
      <c r="E385" s="90" t="b">
        <v>0</v>
      </c>
      <c r="F385" s="90" t="b">
        <v>0</v>
      </c>
      <c r="G385" s="90" t="b">
        <v>0</v>
      </c>
    </row>
    <row r="386" spans="1:7" ht="15">
      <c r="A386" s="87" t="s">
        <v>271</v>
      </c>
      <c r="B386" s="90">
        <v>2</v>
      </c>
      <c r="C386" s="114">
        <v>0.005118971755438993</v>
      </c>
      <c r="D386" s="90" t="s">
        <v>1377</v>
      </c>
      <c r="E386" s="90" t="b">
        <v>0</v>
      </c>
      <c r="F386" s="90" t="b">
        <v>0</v>
      </c>
      <c r="G386" s="90" t="b">
        <v>0</v>
      </c>
    </row>
    <row r="387" spans="1:7" ht="15">
      <c r="A387" s="87" t="s">
        <v>1883</v>
      </c>
      <c r="B387" s="90">
        <v>2</v>
      </c>
      <c r="C387" s="114">
        <v>0.006695045031166644</v>
      </c>
      <c r="D387" s="90" t="s">
        <v>1377</v>
      </c>
      <c r="E387" s="90" t="b">
        <v>0</v>
      </c>
      <c r="F387" s="90" t="b">
        <v>0</v>
      </c>
      <c r="G387" s="90" t="b">
        <v>0</v>
      </c>
    </row>
    <row r="388" spans="1:7" ht="15">
      <c r="A388" s="87" t="s">
        <v>2044</v>
      </c>
      <c r="B388" s="90">
        <v>2</v>
      </c>
      <c r="C388" s="114">
        <v>0.006695045031166644</v>
      </c>
      <c r="D388" s="90" t="s">
        <v>1377</v>
      </c>
      <c r="E388" s="90" t="b">
        <v>0</v>
      </c>
      <c r="F388" s="90" t="b">
        <v>0</v>
      </c>
      <c r="G388" s="90" t="b">
        <v>0</v>
      </c>
    </row>
    <row r="389" spans="1:7" ht="15">
      <c r="A389" s="87" t="s">
        <v>1495</v>
      </c>
      <c r="B389" s="90">
        <v>163</v>
      </c>
      <c r="C389" s="114">
        <v>0</v>
      </c>
      <c r="D389" s="90" t="s">
        <v>1378</v>
      </c>
      <c r="E389" s="90" t="b">
        <v>0</v>
      </c>
      <c r="F389" s="90" t="b">
        <v>0</v>
      </c>
      <c r="G389" s="90" t="b">
        <v>0</v>
      </c>
    </row>
    <row r="390" spans="1:7" ht="15">
      <c r="A390" s="87" t="s">
        <v>1496</v>
      </c>
      <c r="B390" s="90">
        <v>163</v>
      </c>
      <c r="C390" s="114">
        <v>0</v>
      </c>
      <c r="D390" s="90" t="s">
        <v>1378</v>
      </c>
      <c r="E390" s="90" t="b">
        <v>0</v>
      </c>
      <c r="F390" s="90" t="b">
        <v>0</v>
      </c>
      <c r="G390" s="90" t="b">
        <v>0</v>
      </c>
    </row>
    <row r="391" spans="1:7" ht="15">
      <c r="A391" s="87" t="s">
        <v>1497</v>
      </c>
      <c r="B391" s="90">
        <v>56</v>
      </c>
      <c r="C391" s="114">
        <v>0.013611127340935999</v>
      </c>
      <c r="D391" s="90" t="s">
        <v>1378</v>
      </c>
      <c r="E391" s="90" t="b">
        <v>0</v>
      </c>
      <c r="F391" s="90" t="b">
        <v>0</v>
      </c>
      <c r="G391" s="90" t="b">
        <v>0</v>
      </c>
    </row>
    <row r="392" spans="1:7" ht="15">
      <c r="A392" s="87" t="s">
        <v>1498</v>
      </c>
      <c r="B392" s="90">
        <v>52</v>
      </c>
      <c r="C392" s="114">
        <v>0.013866267918626359</v>
      </c>
      <c r="D392" s="90" t="s">
        <v>1378</v>
      </c>
      <c r="E392" s="90" t="b">
        <v>0</v>
      </c>
      <c r="F392" s="90" t="b">
        <v>1</v>
      </c>
      <c r="G392" s="90" t="b">
        <v>0</v>
      </c>
    </row>
    <row r="393" spans="1:7" ht="15">
      <c r="A393" s="87" t="s">
        <v>1499</v>
      </c>
      <c r="B393" s="90">
        <v>48</v>
      </c>
      <c r="C393" s="114">
        <v>0.013805256791757505</v>
      </c>
      <c r="D393" s="90" t="s">
        <v>1378</v>
      </c>
      <c r="E393" s="90" t="b">
        <v>0</v>
      </c>
      <c r="F393" s="90" t="b">
        <v>0</v>
      </c>
      <c r="G393" s="90" t="b">
        <v>0</v>
      </c>
    </row>
    <row r="394" spans="1:7" ht="15">
      <c r="A394" s="87" t="s">
        <v>1500</v>
      </c>
      <c r="B394" s="90">
        <v>43</v>
      </c>
      <c r="C394" s="114">
        <v>0.012852932513264326</v>
      </c>
      <c r="D394" s="90" t="s">
        <v>1378</v>
      </c>
      <c r="E394" s="90" t="b">
        <v>0</v>
      </c>
      <c r="F394" s="90" t="b">
        <v>0</v>
      </c>
      <c r="G394" s="90" t="b">
        <v>0</v>
      </c>
    </row>
    <row r="395" spans="1:7" ht="15">
      <c r="A395" s="87" t="s">
        <v>539</v>
      </c>
      <c r="B395" s="90">
        <v>40</v>
      </c>
      <c r="C395" s="114">
        <v>0.012433166483438703</v>
      </c>
      <c r="D395" s="90" t="s">
        <v>1378</v>
      </c>
      <c r="E395" s="90" t="b">
        <v>0</v>
      </c>
      <c r="F395" s="90" t="b">
        <v>0</v>
      </c>
      <c r="G395" s="90" t="b">
        <v>0</v>
      </c>
    </row>
    <row r="396" spans="1:7" ht="15">
      <c r="A396" s="87" t="s">
        <v>1501</v>
      </c>
      <c r="B396" s="90">
        <v>40</v>
      </c>
      <c r="C396" s="114">
        <v>0.012433166483438703</v>
      </c>
      <c r="D396" s="90" t="s">
        <v>1378</v>
      </c>
      <c r="E396" s="90" t="b">
        <v>0</v>
      </c>
      <c r="F396" s="90" t="b">
        <v>0</v>
      </c>
      <c r="G396" s="90" t="b">
        <v>0</v>
      </c>
    </row>
    <row r="397" spans="1:7" ht="15">
      <c r="A397" s="87" t="s">
        <v>1502</v>
      </c>
      <c r="B397" s="90">
        <v>37</v>
      </c>
      <c r="C397" s="114">
        <v>0.01221212585643163</v>
      </c>
      <c r="D397" s="90" t="s">
        <v>1378</v>
      </c>
      <c r="E397" s="90" t="b">
        <v>0</v>
      </c>
      <c r="F397" s="90" t="b">
        <v>0</v>
      </c>
      <c r="G397" s="90" t="b">
        <v>0</v>
      </c>
    </row>
    <row r="398" spans="1:7" ht="15">
      <c r="A398" s="87" t="s">
        <v>1503</v>
      </c>
      <c r="B398" s="90">
        <v>37</v>
      </c>
      <c r="C398" s="114">
        <v>0.01221212585643163</v>
      </c>
      <c r="D398" s="90" t="s">
        <v>1378</v>
      </c>
      <c r="E398" s="90" t="b">
        <v>0</v>
      </c>
      <c r="F398" s="90" t="b">
        <v>0</v>
      </c>
      <c r="G398" s="90" t="b">
        <v>0</v>
      </c>
    </row>
    <row r="399" spans="1:7" ht="15">
      <c r="A399" s="87" t="s">
        <v>1793</v>
      </c>
      <c r="B399" s="90">
        <v>34</v>
      </c>
      <c r="C399" s="114">
        <v>0.012196126512046376</v>
      </c>
      <c r="D399" s="90" t="s">
        <v>1378</v>
      </c>
      <c r="E399" s="90" t="b">
        <v>0</v>
      </c>
      <c r="F399" s="90" t="b">
        <v>0</v>
      </c>
      <c r="G399" s="90" t="b">
        <v>0</v>
      </c>
    </row>
    <row r="400" spans="1:7" ht="15">
      <c r="A400" s="87" t="s">
        <v>1794</v>
      </c>
      <c r="B400" s="90">
        <v>33</v>
      </c>
      <c r="C400" s="114">
        <v>0.011588939193151923</v>
      </c>
      <c r="D400" s="90" t="s">
        <v>1378</v>
      </c>
      <c r="E400" s="90" t="b">
        <v>0</v>
      </c>
      <c r="F400" s="90" t="b">
        <v>0</v>
      </c>
      <c r="G400" s="90" t="b">
        <v>0</v>
      </c>
    </row>
    <row r="401" spans="1:7" ht="15">
      <c r="A401" s="87" t="s">
        <v>1795</v>
      </c>
      <c r="B401" s="90">
        <v>32</v>
      </c>
      <c r="C401" s="114">
        <v>0.012537154572342576</v>
      </c>
      <c r="D401" s="90" t="s">
        <v>1378</v>
      </c>
      <c r="E401" s="90" t="b">
        <v>0</v>
      </c>
      <c r="F401" s="90" t="b">
        <v>0</v>
      </c>
      <c r="G401" s="90" t="b">
        <v>0</v>
      </c>
    </row>
    <row r="402" spans="1:7" ht="15">
      <c r="A402" s="87" t="s">
        <v>1796</v>
      </c>
      <c r="B402" s="90">
        <v>31</v>
      </c>
      <c r="C402" s="114">
        <v>0.010886579242051806</v>
      </c>
      <c r="D402" s="90" t="s">
        <v>1378</v>
      </c>
      <c r="E402" s="90" t="b">
        <v>0</v>
      </c>
      <c r="F402" s="90" t="b">
        <v>0</v>
      </c>
      <c r="G402" s="90" t="b">
        <v>0</v>
      </c>
    </row>
    <row r="403" spans="1:7" ht="15">
      <c r="A403" s="87" t="s">
        <v>1797</v>
      </c>
      <c r="B403" s="90">
        <v>30</v>
      </c>
      <c r="C403" s="114">
        <v>0.010761288098864449</v>
      </c>
      <c r="D403" s="90" t="s">
        <v>1378</v>
      </c>
      <c r="E403" s="90" t="b">
        <v>0</v>
      </c>
      <c r="F403" s="90" t="b">
        <v>0</v>
      </c>
      <c r="G403" s="90" t="b">
        <v>0</v>
      </c>
    </row>
    <row r="404" spans="1:7" ht="15">
      <c r="A404" s="87" t="s">
        <v>1798</v>
      </c>
      <c r="B404" s="90">
        <v>28</v>
      </c>
      <c r="C404" s="114">
        <v>0.0107247506288175</v>
      </c>
      <c r="D404" s="90" t="s">
        <v>1378</v>
      </c>
      <c r="E404" s="90" t="b">
        <v>0</v>
      </c>
      <c r="F404" s="90" t="b">
        <v>0</v>
      </c>
      <c r="G404" s="90" t="b">
        <v>0</v>
      </c>
    </row>
    <row r="405" spans="1:7" ht="15">
      <c r="A405" s="87" t="s">
        <v>1799</v>
      </c>
      <c r="B405" s="90">
        <v>26</v>
      </c>
      <c r="C405" s="114">
        <v>0.010186438090028345</v>
      </c>
      <c r="D405" s="90" t="s">
        <v>1378</v>
      </c>
      <c r="E405" s="90" t="b">
        <v>0</v>
      </c>
      <c r="F405" s="90" t="b">
        <v>0</v>
      </c>
      <c r="G405" s="90" t="b">
        <v>0</v>
      </c>
    </row>
    <row r="406" spans="1:7" ht="15">
      <c r="A406" s="87" t="s">
        <v>1800</v>
      </c>
      <c r="B406" s="90">
        <v>25</v>
      </c>
      <c r="C406" s="114">
        <v>0.010022954945586478</v>
      </c>
      <c r="D406" s="90" t="s">
        <v>1378</v>
      </c>
      <c r="E406" s="90" t="b">
        <v>0</v>
      </c>
      <c r="F406" s="90" t="b">
        <v>0</v>
      </c>
      <c r="G406" s="90" t="b">
        <v>0</v>
      </c>
    </row>
    <row r="407" spans="1:7" ht="15">
      <c r="A407" s="87" t="s">
        <v>1801</v>
      </c>
      <c r="B407" s="90">
        <v>24</v>
      </c>
      <c r="C407" s="114">
        <v>0.009622036747763017</v>
      </c>
      <c r="D407" s="90" t="s">
        <v>1378</v>
      </c>
      <c r="E407" s="90" t="b">
        <v>0</v>
      </c>
      <c r="F407" s="90" t="b">
        <v>0</v>
      </c>
      <c r="G407" s="90" t="b">
        <v>0</v>
      </c>
    </row>
    <row r="408" spans="1:7" ht="15">
      <c r="A408" s="87" t="s">
        <v>1803</v>
      </c>
      <c r="B408" s="90">
        <v>23</v>
      </c>
      <c r="C408" s="114">
        <v>0.009440495313523497</v>
      </c>
      <c r="D408" s="90" t="s">
        <v>1378</v>
      </c>
      <c r="E408" s="90" t="b">
        <v>0</v>
      </c>
      <c r="F408" s="90" t="b">
        <v>0</v>
      </c>
      <c r="G408" s="90" t="b">
        <v>0</v>
      </c>
    </row>
    <row r="409" spans="1:7" ht="15">
      <c r="A409" s="87" t="s">
        <v>1802</v>
      </c>
      <c r="B409" s="90">
        <v>23</v>
      </c>
      <c r="C409" s="114">
        <v>0.00967007924634494</v>
      </c>
      <c r="D409" s="90" t="s">
        <v>1378</v>
      </c>
      <c r="E409" s="90" t="b">
        <v>0</v>
      </c>
      <c r="F409" s="90" t="b">
        <v>0</v>
      </c>
      <c r="G409" s="90" t="b">
        <v>0</v>
      </c>
    </row>
    <row r="410" spans="1:7" ht="15">
      <c r="A410" s="87" t="s">
        <v>1804</v>
      </c>
      <c r="B410" s="90">
        <v>21</v>
      </c>
      <c r="C410" s="114">
        <v>0.009049052237012922</v>
      </c>
      <c r="D410" s="90" t="s">
        <v>1378</v>
      </c>
      <c r="E410" s="90" t="b">
        <v>0</v>
      </c>
      <c r="F410" s="90" t="b">
        <v>0</v>
      </c>
      <c r="G410" s="90" t="b">
        <v>0</v>
      </c>
    </row>
    <row r="411" spans="1:7" ht="15">
      <c r="A411" s="87" t="s">
        <v>1805</v>
      </c>
      <c r="B411" s="90">
        <v>18</v>
      </c>
      <c r="C411" s="114">
        <v>0.008163264693459203</v>
      </c>
      <c r="D411" s="90" t="s">
        <v>1378</v>
      </c>
      <c r="E411" s="90" t="b">
        <v>0</v>
      </c>
      <c r="F411" s="90" t="b">
        <v>0</v>
      </c>
      <c r="G411" s="90" t="b">
        <v>0</v>
      </c>
    </row>
    <row r="412" spans="1:7" ht="15">
      <c r="A412" s="87" t="s">
        <v>1806</v>
      </c>
      <c r="B412" s="90">
        <v>17</v>
      </c>
      <c r="C412" s="114">
        <v>0.008139390740048389</v>
      </c>
      <c r="D412" s="90" t="s">
        <v>1378</v>
      </c>
      <c r="E412" s="90" t="b">
        <v>0</v>
      </c>
      <c r="F412" s="90" t="b">
        <v>0</v>
      </c>
      <c r="G412" s="90" t="b">
        <v>0</v>
      </c>
    </row>
    <row r="413" spans="1:7" ht="15">
      <c r="A413" s="87" t="s">
        <v>1808</v>
      </c>
      <c r="B413" s="90">
        <v>16</v>
      </c>
      <c r="C413" s="114">
        <v>0.007882173987008637</v>
      </c>
      <c r="D413" s="90" t="s">
        <v>1378</v>
      </c>
      <c r="E413" s="90" t="b">
        <v>0</v>
      </c>
      <c r="F413" s="90" t="b">
        <v>0</v>
      </c>
      <c r="G413" s="90" t="b">
        <v>0</v>
      </c>
    </row>
    <row r="414" spans="1:7" ht="15">
      <c r="A414" s="87" t="s">
        <v>1807</v>
      </c>
      <c r="B414" s="90">
        <v>16</v>
      </c>
      <c r="C414" s="114">
        <v>0.007660603049457306</v>
      </c>
      <c r="D414" s="90" t="s">
        <v>1378</v>
      </c>
      <c r="E414" s="90" t="b">
        <v>0</v>
      </c>
      <c r="F414" s="90" t="b">
        <v>0</v>
      </c>
      <c r="G414" s="90" t="b">
        <v>0</v>
      </c>
    </row>
    <row r="415" spans="1:7" ht="15">
      <c r="A415" s="87" t="s">
        <v>1809</v>
      </c>
      <c r="B415" s="90">
        <v>14</v>
      </c>
      <c r="C415" s="114">
        <v>0.007104157736302621</v>
      </c>
      <c r="D415" s="90" t="s">
        <v>1378</v>
      </c>
      <c r="E415" s="90" t="b">
        <v>0</v>
      </c>
      <c r="F415" s="90" t="b">
        <v>0</v>
      </c>
      <c r="G415" s="90" t="b">
        <v>0</v>
      </c>
    </row>
    <row r="416" spans="1:7" ht="15">
      <c r="A416" s="87" t="s">
        <v>1810</v>
      </c>
      <c r="B416" s="90">
        <v>12</v>
      </c>
      <c r="C416" s="114">
        <v>0.006486195784770646</v>
      </c>
      <c r="D416" s="90" t="s">
        <v>1378</v>
      </c>
      <c r="E416" s="90" t="b">
        <v>0</v>
      </c>
      <c r="F416" s="90" t="b">
        <v>0</v>
      </c>
      <c r="G416" s="90" t="b">
        <v>0</v>
      </c>
    </row>
    <row r="417" spans="1:7" ht="15">
      <c r="A417" s="87" t="s">
        <v>1813</v>
      </c>
      <c r="B417" s="90">
        <v>12</v>
      </c>
      <c r="C417" s="114">
        <v>0.00671023863589357</v>
      </c>
      <c r="D417" s="90" t="s">
        <v>1378</v>
      </c>
      <c r="E417" s="90" t="b">
        <v>0</v>
      </c>
      <c r="F417" s="90" t="b">
        <v>0</v>
      </c>
      <c r="G417" s="90" t="b">
        <v>0</v>
      </c>
    </row>
    <row r="418" spans="1:7" ht="15">
      <c r="A418" s="87" t="s">
        <v>1812</v>
      </c>
      <c r="B418" s="90">
        <v>12</v>
      </c>
      <c r="C418" s="114">
        <v>0.006486195784770646</v>
      </c>
      <c r="D418" s="90" t="s">
        <v>1378</v>
      </c>
      <c r="E418" s="90" t="b">
        <v>0</v>
      </c>
      <c r="F418" s="90" t="b">
        <v>0</v>
      </c>
      <c r="G418" s="90" t="b">
        <v>0</v>
      </c>
    </row>
    <row r="419" spans="1:7" ht="15">
      <c r="A419" s="87" t="s">
        <v>1533</v>
      </c>
      <c r="B419" s="90">
        <v>11</v>
      </c>
      <c r="C419" s="114">
        <v>0.006151052082902439</v>
      </c>
      <c r="D419" s="90" t="s">
        <v>1378</v>
      </c>
      <c r="E419" s="90" t="b">
        <v>0</v>
      </c>
      <c r="F419" s="90" t="b">
        <v>0</v>
      </c>
      <c r="G419" s="90" t="b">
        <v>0</v>
      </c>
    </row>
    <row r="420" spans="1:7" ht="15">
      <c r="A420" s="87" t="s">
        <v>1816</v>
      </c>
      <c r="B420" s="90">
        <v>11</v>
      </c>
      <c r="C420" s="114">
        <v>0.006376012328327576</v>
      </c>
      <c r="D420" s="90" t="s">
        <v>1378</v>
      </c>
      <c r="E420" s="90" t="b">
        <v>0</v>
      </c>
      <c r="F420" s="90" t="b">
        <v>0</v>
      </c>
      <c r="G420" s="90" t="b">
        <v>0</v>
      </c>
    </row>
    <row r="421" spans="1:7" ht="15">
      <c r="A421" s="87" t="s">
        <v>1815</v>
      </c>
      <c r="B421" s="90">
        <v>11</v>
      </c>
      <c r="C421" s="114">
        <v>0.006376012328327576</v>
      </c>
      <c r="D421" s="90" t="s">
        <v>1378</v>
      </c>
      <c r="E421" s="90" t="b">
        <v>0</v>
      </c>
      <c r="F421" s="90" t="b">
        <v>0</v>
      </c>
      <c r="G421" s="90" t="b">
        <v>0</v>
      </c>
    </row>
    <row r="422" spans="1:7" ht="15">
      <c r="A422" s="87" t="s">
        <v>1814</v>
      </c>
      <c r="B422" s="90">
        <v>11</v>
      </c>
      <c r="C422" s="114">
        <v>0.006151052082902439</v>
      </c>
      <c r="D422" s="90" t="s">
        <v>1378</v>
      </c>
      <c r="E422" s="90" t="b">
        <v>0</v>
      </c>
      <c r="F422" s="90" t="b">
        <v>0</v>
      </c>
      <c r="G422" s="90" t="b">
        <v>0</v>
      </c>
    </row>
    <row r="423" spans="1:7" ht="15">
      <c r="A423" s="87" t="s">
        <v>1818</v>
      </c>
      <c r="B423" s="90">
        <v>10</v>
      </c>
      <c r="C423" s="114">
        <v>0.00579637484393416</v>
      </c>
      <c r="D423" s="90" t="s">
        <v>1378</v>
      </c>
      <c r="E423" s="90" t="b">
        <v>0</v>
      </c>
      <c r="F423" s="90" t="b">
        <v>0</v>
      </c>
      <c r="G423" s="90" t="b">
        <v>0</v>
      </c>
    </row>
    <row r="424" spans="1:7" ht="15">
      <c r="A424" s="87" t="s">
        <v>1811</v>
      </c>
      <c r="B424" s="90">
        <v>10</v>
      </c>
      <c r="C424" s="114">
        <v>0.00579637484393416</v>
      </c>
      <c r="D424" s="90" t="s">
        <v>1378</v>
      </c>
      <c r="E424" s="90" t="b">
        <v>0</v>
      </c>
      <c r="F424" s="90" t="b">
        <v>0</v>
      </c>
      <c r="G424" s="90" t="b">
        <v>0</v>
      </c>
    </row>
    <row r="425" spans="1:7" ht="15">
      <c r="A425" s="87" t="s">
        <v>1820</v>
      </c>
      <c r="B425" s="90">
        <v>9</v>
      </c>
      <c r="C425" s="114">
        <v>0.005647661330426371</v>
      </c>
      <c r="D425" s="90" t="s">
        <v>1378</v>
      </c>
      <c r="E425" s="90" t="b">
        <v>0</v>
      </c>
      <c r="F425" s="90" t="b">
        <v>0</v>
      </c>
      <c r="G425" s="90" t="b">
        <v>0</v>
      </c>
    </row>
    <row r="426" spans="1:7" ht="15">
      <c r="A426" s="87" t="s">
        <v>1822</v>
      </c>
      <c r="B426" s="90">
        <v>8</v>
      </c>
      <c r="C426" s="114">
        <v>0.005249360586553427</v>
      </c>
      <c r="D426" s="90" t="s">
        <v>1378</v>
      </c>
      <c r="E426" s="90" t="b">
        <v>0</v>
      </c>
      <c r="F426" s="90" t="b">
        <v>0</v>
      </c>
      <c r="G426" s="90" t="b">
        <v>0</v>
      </c>
    </row>
    <row r="427" spans="1:7" ht="15">
      <c r="A427" s="87" t="s">
        <v>1824</v>
      </c>
      <c r="B427" s="90">
        <v>8</v>
      </c>
      <c r="C427" s="114">
        <v>0.005020143404823441</v>
      </c>
      <c r="D427" s="90" t="s">
        <v>1378</v>
      </c>
      <c r="E427" s="90" t="b">
        <v>0</v>
      </c>
      <c r="F427" s="90" t="b">
        <v>0</v>
      </c>
      <c r="G427" s="90" t="b">
        <v>0</v>
      </c>
    </row>
    <row r="428" spans="1:7" ht="15">
      <c r="A428" s="87" t="s">
        <v>1823</v>
      </c>
      <c r="B428" s="90">
        <v>8</v>
      </c>
      <c r="C428" s="114">
        <v>0.005020143404823441</v>
      </c>
      <c r="D428" s="90" t="s">
        <v>1378</v>
      </c>
      <c r="E428" s="90" t="b">
        <v>0</v>
      </c>
      <c r="F428" s="90" t="b">
        <v>0</v>
      </c>
      <c r="G428" s="90" t="b">
        <v>0</v>
      </c>
    </row>
    <row r="429" spans="1:7" ht="15">
      <c r="A429" s="87" t="s">
        <v>1817</v>
      </c>
      <c r="B429" s="90">
        <v>8</v>
      </c>
      <c r="C429" s="114">
        <v>0.005020143404823441</v>
      </c>
      <c r="D429" s="90" t="s">
        <v>1378</v>
      </c>
      <c r="E429" s="90" t="b">
        <v>0</v>
      </c>
      <c r="F429" s="90" t="b">
        <v>0</v>
      </c>
      <c r="G429" s="90" t="b">
        <v>0</v>
      </c>
    </row>
    <row r="430" spans="1:7" ht="15">
      <c r="A430" s="87" t="s">
        <v>1819</v>
      </c>
      <c r="B430" s="90">
        <v>7</v>
      </c>
      <c r="C430" s="114">
        <v>0.004593190513234249</v>
      </c>
      <c r="D430" s="90" t="s">
        <v>1378</v>
      </c>
      <c r="E430" s="90" t="b">
        <v>0</v>
      </c>
      <c r="F430" s="90" t="b">
        <v>0</v>
      </c>
      <c r="G430" s="90" t="b">
        <v>0</v>
      </c>
    </row>
    <row r="431" spans="1:7" ht="15">
      <c r="A431" s="87" t="s">
        <v>1830</v>
      </c>
      <c r="B431" s="90">
        <v>6</v>
      </c>
      <c r="C431" s="114">
        <v>0.004135479302456414</v>
      </c>
      <c r="D431" s="90" t="s">
        <v>1378</v>
      </c>
      <c r="E431" s="90" t="b">
        <v>0</v>
      </c>
      <c r="F431" s="90" t="b">
        <v>0</v>
      </c>
      <c r="G431" s="90" t="b">
        <v>0</v>
      </c>
    </row>
    <row r="432" spans="1:7" ht="15">
      <c r="A432" s="87" t="s">
        <v>1850</v>
      </c>
      <c r="B432" s="90">
        <v>6</v>
      </c>
      <c r="C432" s="114">
        <v>0.004135479302456414</v>
      </c>
      <c r="D432" s="90" t="s">
        <v>1378</v>
      </c>
      <c r="E432" s="90" t="b">
        <v>0</v>
      </c>
      <c r="F432" s="90" t="b">
        <v>0</v>
      </c>
      <c r="G432" s="90" t="b">
        <v>0</v>
      </c>
    </row>
    <row r="433" spans="1:7" ht="15">
      <c r="A433" s="87" t="s">
        <v>1831</v>
      </c>
      <c r="B433" s="90">
        <v>6</v>
      </c>
      <c r="C433" s="114">
        <v>0.004135479302456414</v>
      </c>
      <c r="D433" s="90" t="s">
        <v>1378</v>
      </c>
      <c r="E433" s="90" t="b">
        <v>0</v>
      </c>
      <c r="F433" s="90" t="b">
        <v>0</v>
      </c>
      <c r="G433" s="90" t="b">
        <v>0</v>
      </c>
    </row>
    <row r="434" spans="1:7" ht="15">
      <c r="A434" s="87" t="s">
        <v>1854</v>
      </c>
      <c r="B434" s="90">
        <v>6</v>
      </c>
      <c r="C434" s="114">
        <v>0.004135479302456414</v>
      </c>
      <c r="D434" s="90" t="s">
        <v>1378</v>
      </c>
      <c r="E434" s="90" t="b">
        <v>0</v>
      </c>
      <c r="F434" s="90" t="b">
        <v>0</v>
      </c>
      <c r="G434" s="90" t="b">
        <v>0</v>
      </c>
    </row>
    <row r="435" spans="1:7" ht="15">
      <c r="A435" s="87" t="s">
        <v>1855</v>
      </c>
      <c r="B435" s="90">
        <v>6</v>
      </c>
      <c r="C435" s="114">
        <v>0.004370206316431586</v>
      </c>
      <c r="D435" s="90" t="s">
        <v>1378</v>
      </c>
      <c r="E435" s="90" t="b">
        <v>0</v>
      </c>
      <c r="F435" s="90" t="b">
        <v>0</v>
      </c>
      <c r="G435" s="90" t="b">
        <v>0</v>
      </c>
    </row>
    <row r="436" spans="1:7" ht="15">
      <c r="A436" s="87" t="s">
        <v>1853</v>
      </c>
      <c r="B436" s="90">
        <v>6</v>
      </c>
      <c r="C436" s="114">
        <v>0.004135479302456414</v>
      </c>
      <c r="D436" s="90" t="s">
        <v>1378</v>
      </c>
      <c r="E436" s="90" t="b">
        <v>0</v>
      </c>
      <c r="F436" s="90" t="b">
        <v>0</v>
      </c>
      <c r="G436" s="90" t="b">
        <v>0</v>
      </c>
    </row>
    <row r="437" spans="1:7" ht="15">
      <c r="A437" s="87" t="s">
        <v>1851</v>
      </c>
      <c r="B437" s="90">
        <v>6</v>
      </c>
      <c r="C437" s="114">
        <v>0.004135479302456414</v>
      </c>
      <c r="D437" s="90" t="s">
        <v>1378</v>
      </c>
      <c r="E437" s="90" t="b">
        <v>0</v>
      </c>
      <c r="F437" s="90" t="b">
        <v>0</v>
      </c>
      <c r="G437" s="90" t="b">
        <v>0</v>
      </c>
    </row>
    <row r="438" spans="1:7" ht="15">
      <c r="A438" s="87" t="s">
        <v>1862</v>
      </c>
      <c r="B438" s="90">
        <v>5</v>
      </c>
      <c r="C438" s="114">
        <v>0.0036418385970263226</v>
      </c>
      <c r="D438" s="90" t="s">
        <v>1378</v>
      </c>
      <c r="E438" s="90" t="b">
        <v>0</v>
      </c>
      <c r="F438" s="90" t="b">
        <v>0</v>
      </c>
      <c r="G438" s="90" t="b">
        <v>0</v>
      </c>
    </row>
    <row r="439" spans="1:7" ht="15">
      <c r="A439" s="87" t="s">
        <v>1859</v>
      </c>
      <c r="B439" s="90">
        <v>5</v>
      </c>
      <c r="C439" s="114">
        <v>0.0036418385970263226</v>
      </c>
      <c r="D439" s="90" t="s">
        <v>1378</v>
      </c>
      <c r="E439" s="90" t="b">
        <v>0</v>
      </c>
      <c r="F439" s="90" t="b">
        <v>0</v>
      </c>
      <c r="G439" s="90" t="b">
        <v>0</v>
      </c>
    </row>
    <row r="440" spans="1:7" ht="15">
      <c r="A440" s="87" t="s">
        <v>1860</v>
      </c>
      <c r="B440" s="90">
        <v>5</v>
      </c>
      <c r="C440" s="114">
        <v>0.0036418385970263226</v>
      </c>
      <c r="D440" s="90" t="s">
        <v>1378</v>
      </c>
      <c r="E440" s="90" t="b">
        <v>0</v>
      </c>
      <c r="F440" s="90" t="b">
        <v>0</v>
      </c>
      <c r="G440" s="90" t="b">
        <v>0</v>
      </c>
    </row>
    <row r="441" spans="1:7" ht="15">
      <c r="A441" s="87" t="s">
        <v>1864</v>
      </c>
      <c r="B441" s="90">
        <v>5</v>
      </c>
      <c r="C441" s="114">
        <v>0.0036418385970263226</v>
      </c>
      <c r="D441" s="90" t="s">
        <v>1378</v>
      </c>
      <c r="E441" s="90" t="b">
        <v>0</v>
      </c>
      <c r="F441" s="90" t="b">
        <v>0</v>
      </c>
      <c r="G441" s="90" t="b">
        <v>0</v>
      </c>
    </row>
    <row r="442" spans="1:7" ht="15">
      <c r="A442" s="87" t="s">
        <v>1863</v>
      </c>
      <c r="B442" s="90">
        <v>5</v>
      </c>
      <c r="C442" s="114">
        <v>0.0036418385970263226</v>
      </c>
      <c r="D442" s="90" t="s">
        <v>1378</v>
      </c>
      <c r="E442" s="90" t="b">
        <v>0</v>
      </c>
      <c r="F442" s="90" t="b">
        <v>0</v>
      </c>
      <c r="G442" s="90" t="b">
        <v>0</v>
      </c>
    </row>
    <row r="443" spans="1:7" ht="15">
      <c r="A443" s="87" t="s">
        <v>1852</v>
      </c>
      <c r="B443" s="90">
        <v>5</v>
      </c>
      <c r="C443" s="114">
        <v>0.0036418385970263226</v>
      </c>
      <c r="D443" s="90" t="s">
        <v>1378</v>
      </c>
      <c r="E443" s="90" t="b">
        <v>0</v>
      </c>
      <c r="F443" s="90" t="b">
        <v>0</v>
      </c>
      <c r="G443" s="90" t="b">
        <v>0</v>
      </c>
    </row>
    <row r="444" spans="1:7" ht="15">
      <c r="A444" s="87" t="s">
        <v>1856</v>
      </c>
      <c r="B444" s="90">
        <v>5</v>
      </c>
      <c r="C444" s="114">
        <v>0.0036418385970263226</v>
      </c>
      <c r="D444" s="90" t="s">
        <v>1378</v>
      </c>
      <c r="E444" s="90" t="b">
        <v>0</v>
      </c>
      <c r="F444" s="90" t="b">
        <v>0</v>
      </c>
      <c r="G444" s="90" t="b">
        <v>0</v>
      </c>
    </row>
    <row r="445" spans="1:7" ht="15">
      <c r="A445" s="87" t="s">
        <v>1829</v>
      </c>
      <c r="B445" s="90">
        <v>5</v>
      </c>
      <c r="C445" s="114">
        <v>0.0036418385970263226</v>
      </c>
      <c r="D445" s="90" t="s">
        <v>1378</v>
      </c>
      <c r="E445" s="90" t="b">
        <v>0</v>
      </c>
      <c r="F445" s="90" t="b">
        <v>0</v>
      </c>
      <c r="G445" s="90" t="b">
        <v>0</v>
      </c>
    </row>
    <row r="446" spans="1:7" ht="15">
      <c r="A446" s="87" t="s">
        <v>1857</v>
      </c>
      <c r="B446" s="90">
        <v>5</v>
      </c>
      <c r="C446" s="114">
        <v>0.0036418385970263226</v>
      </c>
      <c r="D446" s="90" t="s">
        <v>1378</v>
      </c>
      <c r="E446" s="90" t="b">
        <v>0</v>
      </c>
      <c r="F446" s="90" t="b">
        <v>0</v>
      </c>
      <c r="G446" s="90" t="b">
        <v>0</v>
      </c>
    </row>
    <row r="447" spans="1:7" ht="15">
      <c r="A447" s="87" t="s">
        <v>1858</v>
      </c>
      <c r="B447" s="90">
        <v>5</v>
      </c>
      <c r="C447" s="114">
        <v>0.0036418385970263226</v>
      </c>
      <c r="D447" s="90" t="s">
        <v>1378</v>
      </c>
      <c r="E447" s="90" t="b">
        <v>0</v>
      </c>
      <c r="F447" s="90" t="b">
        <v>0</v>
      </c>
      <c r="G447" s="90" t="b">
        <v>0</v>
      </c>
    </row>
    <row r="448" spans="1:7" ht="15">
      <c r="A448" s="87" t="s">
        <v>1478</v>
      </c>
      <c r="B448" s="90">
        <v>4</v>
      </c>
      <c r="C448" s="114">
        <v>0.003104992642459114</v>
      </c>
      <c r="D448" s="90" t="s">
        <v>1378</v>
      </c>
      <c r="E448" s="90" t="b">
        <v>0</v>
      </c>
      <c r="F448" s="90" t="b">
        <v>0</v>
      </c>
      <c r="G448" s="90" t="b">
        <v>0</v>
      </c>
    </row>
    <row r="449" spans="1:7" ht="15">
      <c r="A449" s="87" t="s">
        <v>1873</v>
      </c>
      <c r="B449" s="90">
        <v>4</v>
      </c>
      <c r="C449" s="114">
        <v>0.003104992642459114</v>
      </c>
      <c r="D449" s="90" t="s">
        <v>1378</v>
      </c>
      <c r="E449" s="90" t="b">
        <v>0</v>
      </c>
      <c r="F449" s="90" t="b">
        <v>0</v>
      </c>
      <c r="G449" s="90" t="b">
        <v>0</v>
      </c>
    </row>
    <row r="450" spans="1:7" ht="15">
      <c r="A450" s="87" t="s">
        <v>1872</v>
      </c>
      <c r="B450" s="90">
        <v>4</v>
      </c>
      <c r="C450" s="114">
        <v>0.003104992642459114</v>
      </c>
      <c r="D450" s="90" t="s">
        <v>1378</v>
      </c>
      <c r="E450" s="90" t="b">
        <v>0</v>
      </c>
      <c r="F450" s="90" t="b">
        <v>0</v>
      </c>
      <c r="G450" s="90" t="b">
        <v>0</v>
      </c>
    </row>
    <row r="451" spans="1:7" ht="15">
      <c r="A451" s="87" t="s">
        <v>1868</v>
      </c>
      <c r="B451" s="90">
        <v>4</v>
      </c>
      <c r="C451" s="114">
        <v>0.003104992642459114</v>
      </c>
      <c r="D451" s="90" t="s">
        <v>1378</v>
      </c>
      <c r="E451" s="90" t="b">
        <v>1</v>
      </c>
      <c r="F451" s="90" t="b">
        <v>0</v>
      </c>
      <c r="G451" s="90" t="b">
        <v>0</v>
      </c>
    </row>
    <row r="452" spans="1:7" ht="15">
      <c r="A452" s="87" t="s">
        <v>1869</v>
      </c>
      <c r="B452" s="90">
        <v>4</v>
      </c>
      <c r="C452" s="114">
        <v>0.003104992642459114</v>
      </c>
      <c r="D452" s="90" t="s">
        <v>1378</v>
      </c>
      <c r="E452" s="90" t="b">
        <v>0</v>
      </c>
      <c r="F452" s="90" t="b">
        <v>0</v>
      </c>
      <c r="G452" s="90" t="b">
        <v>0</v>
      </c>
    </row>
    <row r="453" spans="1:7" ht="15">
      <c r="A453" s="87" t="s">
        <v>1870</v>
      </c>
      <c r="B453" s="90">
        <v>4</v>
      </c>
      <c r="C453" s="114">
        <v>0.003104992642459114</v>
      </c>
      <c r="D453" s="90" t="s">
        <v>1378</v>
      </c>
      <c r="E453" s="90" t="b">
        <v>0</v>
      </c>
      <c r="F453" s="90" t="b">
        <v>0</v>
      </c>
      <c r="G453" s="90" t="b">
        <v>0</v>
      </c>
    </row>
    <row r="454" spans="1:7" ht="15">
      <c r="A454" s="87" t="s">
        <v>1871</v>
      </c>
      <c r="B454" s="90">
        <v>4</v>
      </c>
      <c r="C454" s="114">
        <v>0.003104992642459114</v>
      </c>
      <c r="D454" s="90" t="s">
        <v>1378</v>
      </c>
      <c r="E454" s="90" t="b">
        <v>0</v>
      </c>
      <c r="F454" s="90" t="b">
        <v>0</v>
      </c>
      <c r="G454" s="90" t="b">
        <v>0</v>
      </c>
    </row>
    <row r="455" spans="1:7" ht="15">
      <c r="A455" s="87" t="s">
        <v>1879</v>
      </c>
      <c r="B455" s="90">
        <v>4</v>
      </c>
      <c r="C455" s="114">
        <v>0.003104992642459114</v>
      </c>
      <c r="D455" s="90" t="s">
        <v>1378</v>
      </c>
      <c r="E455" s="90" t="b">
        <v>0</v>
      </c>
      <c r="F455" s="90" t="b">
        <v>0</v>
      </c>
      <c r="G455" s="90" t="b">
        <v>0</v>
      </c>
    </row>
    <row r="456" spans="1:7" ht="15">
      <c r="A456" s="87" t="s">
        <v>1861</v>
      </c>
      <c r="B456" s="90">
        <v>4</v>
      </c>
      <c r="C456" s="114">
        <v>0.003104992642459114</v>
      </c>
      <c r="D456" s="90" t="s">
        <v>1378</v>
      </c>
      <c r="E456" s="90" t="b">
        <v>0</v>
      </c>
      <c r="F456" s="90" t="b">
        <v>0</v>
      </c>
      <c r="G456" s="90" t="b">
        <v>0</v>
      </c>
    </row>
    <row r="457" spans="1:7" ht="15">
      <c r="A457" s="87" t="s">
        <v>1876</v>
      </c>
      <c r="B457" s="90">
        <v>4</v>
      </c>
      <c r="C457" s="114">
        <v>0.003104992642459114</v>
      </c>
      <c r="D457" s="90" t="s">
        <v>1378</v>
      </c>
      <c r="E457" s="90" t="b">
        <v>0</v>
      </c>
      <c r="F457" s="90" t="b">
        <v>0</v>
      </c>
      <c r="G457" s="90" t="b">
        <v>0</v>
      </c>
    </row>
    <row r="458" spans="1:7" ht="15">
      <c r="A458" s="87" t="s">
        <v>1867</v>
      </c>
      <c r="B458" s="90">
        <v>4</v>
      </c>
      <c r="C458" s="114">
        <v>0.003351907141685003</v>
      </c>
      <c r="D458" s="90" t="s">
        <v>1378</v>
      </c>
      <c r="E458" s="90" t="b">
        <v>0</v>
      </c>
      <c r="F458" s="90" t="b">
        <v>0</v>
      </c>
      <c r="G458" s="90" t="b">
        <v>0</v>
      </c>
    </row>
    <row r="459" spans="1:7" ht="15">
      <c r="A459" s="87" t="s">
        <v>1878</v>
      </c>
      <c r="B459" s="90">
        <v>4</v>
      </c>
      <c r="C459" s="114">
        <v>0.003104992642459114</v>
      </c>
      <c r="D459" s="90" t="s">
        <v>1378</v>
      </c>
      <c r="E459" s="90" t="b">
        <v>0</v>
      </c>
      <c r="F459" s="90" t="b">
        <v>0</v>
      </c>
      <c r="G459" s="90" t="b">
        <v>0</v>
      </c>
    </row>
    <row r="460" spans="1:7" ht="15">
      <c r="A460" s="87" t="s">
        <v>1877</v>
      </c>
      <c r="B460" s="90">
        <v>4</v>
      </c>
      <c r="C460" s="114">
        <v>0.003104992642459114</v>
      </c>
      <c r="D460" s="90" t="s">
        <v>1378</v>
      </c>
      <c r="E460" s="90" t="b">
        <v>0</v>
      </c>
      <c r="F460" s="90" t="b">
        <v>0</v>
      </c>
      <c r="G460" s="90" t="b">
        <v>0</v>
      </c>
    </row>
    <row r="461" spans="1:7" ht="15">
      <c r="A461" s="87" t="s">
        <v>1875</v>
      </c>
      <c r="B461" s="90">
        <v>4</v>
      </c>
      <c r="C461" s="114">
        <v>0.003104992642459114</v>
      </c>
      <c r="D461" s="90" t="s">
        <v>1378</v>
      </c>
      <c r="E461" s="90" t="b">
        <v>0</v>
      </c>
      <c r="F461" s="90" t="b">
        <v>0</v>
      </c>
      <c r="G461" s="90" t="b">
        <v>0</v>
      </c>
    </row>
    <row r="462" spans="1:7" ht="15">
      <c r="A462" s="87" t="s">
        <v>1475</v>
      </c>
      <c r="B462" s="90">
        <v>3</v>
      </c>
      <c r="C462" s="114">
        <v>0.002513930356263752</v>
      </c>
      <c r="D462" s="90" t="s">
        <v>1378</v>
      </c>
      <c r="E462" s="90" t="b">
        <v>0</v>
      </c>
      <c r="F462" s="90" t="b">
        <v>0</v>
      </c>
      <c r="G462" s="90" t="b">
        <v>0</v>
      </c>
    </row>
    <row r="463" spans="1:7" ht="15">
      <c r="A463" s="87" t="s">
        <v>1866</v>
      </c>
      <c r="B463" s="90">
        <v>3</v>
      </c>
      <c r="C463" s="114">
        <v>0.002513930356263752</v>
      </c>
      <c r="D463" s="90" t="s">
        <v>1378</v>
      </c>
      <c r="E463" s="90" t="b">
        <v>0</v>
      </c>
      <c r="F463" s="90" t="b">
        <v>0</v>
      </c>
      <c r="G463" s="90" t="b">
        <v>0</v>
      </c>
    </row>
    <row r="464" spans="1:7" ht="15">
      <c r="A464" s="87" t="s">
        <v>1911</v>
      </c>
      <c r="B464" s="90">
        <v>3</v>
      </c>
      <c r="C464" s="114">
        <v>0.0027749351868798806</v>
      </c>
      <c r="D464" s="90" t="s">
        <v>1378</v>
      </c>
      <c r="E464" s="90" t="b">
        <v>0</v>
      </c>
      <c r="F464" s="90" t="b">
        <v>0</v>
      </c>
      <c r="G464" s="90" t="b">
        <v>0</v>
      </c>
    </row>
    <row r="465" spans="1:7" ht="15">
      <c r="A465" s="87" t="s">
        <v>1903</v>
      </c>
      <c r="B465" s="90">
        <v>3</v>
      </c>
      <c r="C465" s="114">
        <v>0.002513930356263752</v>
      </c>
      <c r="D465" s="90" t="s">
        <v>1378</v>
      </c>
      <c r="E465" s="90" t="b">
        <v>0</v>
      </c>
      <c r="F465" s="90" t="b">
        <v>0</v>
      </c>
      <c r="G465" s="90" t="b">
        <v>0</v>
      </c>
    </row>
    <row r="466" spans="1:7" ht="15">
      <c r="A466" s="87" t="s">
        <v>1885</v>
      </c>
      <c r="B466" s="90">
        <v>3</v>
      </c>
      <c r="C466" s="114">
        <v>0.002513930356263752</v>
      </c>
      <c r="D466" s="90" t="s">
        <v>1378</v>
      </c>
      <c r="E466" s="90" t="b">
        <v>0</v>
      </c>
      <c r="F466" s="90" t="b">
        <v>0</v>
      </c>
      <c r="G466" s="90" t="b">
        <v>0</v>
      </c>
    </row>
    <row r="467" spans="1:7" ht="15">
      <c r="A467" s="87" t="s">
        <v>1890</v>
      </c>
      <c r="B467" s="90">
        <v>3</v>
      </c>
      <c r="C467" s="114">
        <v>0.002513930356263752</v>
      </c>
      <c r="D467" s="90" t="s">
        <v>1378</v>
      </c>
      <c r="E467" s="90" t="b">
        <v>0</v>
      </c>
      <c r="F467" s="90" t="b">
        <v>0</v>
      </c>
      <c r="G467" s="90" t="b">
        <v>0</v>
      </c>
    </row>
    <row r="468" spans="1:7" ht="15">
      <c r="A468" s="87" t="s">
        <v>1907</v>
      </c>
      <c r="B468" s="90">
        <v>3</v>
      </c>
      <c r="C468" s="114">
        <v>0.002513930356263752</v>
      </c>
      <c r="D468" s="90" t="s">
        <v>1378</v>
      </c>
      <c r="E468" s="90" t="b">
        <v>0</v>
      </c>
      <c r="F468" s="90" t="b">
        <v>0</v>
      </c>
      <c r="G468" s="90" t="b">
        <v>0</v>
      </c>
    </row>
    <row r="469" spans="1:7" ht="15">
      <c r="A469" s="87" t="s">
        <v>1909</v>
      </c>
      <c r="B469" s="90">
        <v>3</v>
      </c>
      <c r="C469" s="114">
        <v>0.002513930356263752</v>
      </c>
      <c r="D469" s="90" t="s">
        <v>1378</v>
      </c>
      <c r="E469" s="90" t="b">
        <v>0</v>
      </c>
      <c r="F469" s="90" t="b">
        <v>0</v>
      </c>
      <c r="G469" s="90" t="b">
        <v>0</v>
      </c>
    </row>
    <row r="470" spans="1:7" ht="15">
      <c r="A470" s="87" t="s">
        <v>1896</v>
      </c>
      <c r="B470" s="90">
        <v>3</v>
      </c>
      <c r="C470" s="114">
        <v>0.002513930356263752</v>
      </c>
      <c r="D470" s="90" t="s">
        <v>1378</v>
      </c>
      <c r="E470" s="90" t="b">
        <v>0</v>
      </c>
      <c r="F470" s="90" t="b">
        <v>0</v>
      </c>
      <c r="G470" s="90" t="b">
        <v>0</v>
      </c>
    </row>
    <row r="471" spans="1:7" ht="15">
      <c r="A471" s="87" t="s">
        <v>1902</v>
      </c>
      <c r="B471" s="90">
        <v>3</v>
      </c>
      <c r="C471" s="114">
        <v>0.002513930356263752</v>
      </c>
      <c r="D471" s="90" t="s">
        <v>1378</v>
      </c>
      <c r="E471" s="90" t="b">
        <v>0</v>
      </c>
      <c r="F471" s="90" t="b">
        <v>0</v>
      </c>
      <c r="G471" s="90" t="b">
        <v>0</v>
      </c>
    </row>
    <row r="472" spans="1:7" ht="15">
      <c r="A472" s="87" t="s">
        <v>1899</v>
      </c>
      <c r="B472" s="90">
        <v>3</v>
      </c>
      <c r="C472" s="114">
        <v>0.002513930356263752</v>
      </c>
      <c r="D472" s="90" t="s">
        <v>1378</v>
      </c>
      <c r="E472" s="90" t="b">
        <v>0</v>
      </c>
      <c r="F472" s="90" t="b">
        <v>0</v>
      </c>
      <c r="G472" s="90" t="b">
        <v>0</v>
      </c>
    </row>
    <row r="473" spans="1:7" ht="15">
      <c r="A473" s="87" t="s">
        <v>1906</v>
      </c>
      <c r="B473" s="90">
        <v>3</v>
      </c>
      <c r="C473" s="114">
        <v>0.002513930356263752</v>
      </c>
      <c r="D473" s="90" t="s">
        <v>1378</v>
      </c>
      <c r="E473" s="90" t="b">
        <v>0</v>
      </c>
      <c r="F473" s="90" t="b">
        <v>0</v>
      </c>
      <c r="G473" s="90" t="b">
        <v>0</v>
      </c>
    </row>
    <row r="474" spans="1:7" ht="15">
      <c r="A474" s="87" t="s">
        <v>1887</v>
      </c>
      <c r="B474" s="90">
        <v>3</v>
      </c>
      <c r="C474" s="114">
        <v>0.002513930356263752</v>
      </c>
      <c r="D474" s="90" t="s">
        <v>1378</v>
      </c>
      <c r="E474" s="90" t="b">
        <v>0</v>
      </c>
      <c r="F474" s="90" t="b">
        <v>0</v>
      </c>
      <c r="G474" s="90" t="b">
        <v>0</v>
      </c>
    </row>
    <row r="475" spans="1:7" ht="15">
      <c r="A475" s="87" t="s">
        <v>1904</v>
      </c>
      <c r="B475" s="90">
        <v>3</v>
      </c>
      <c r="C475" s="114">
        <v>0.002513930356263752</v>
      </c>
      <c r="D475" s="90" t="s">
        <v>1378</v>
      </c>
      <c r="E475" s="90" t="b">
        <v>0</v>
      </c>
      <c r="F475" s="90" t="b">
        <v>0</v>
      </c>
      <c r="G475" s="90" t="b">
        <v>0</v>
      </c>
    </row>
    <row r="476" spans="1:7" ht="15">
      <c r="A476" s="87" t="s">
        <v>1905</v>
      </c>
      <c r="B476" s="90">
        <v>3</v>
      </c>
      <c r="C476" s="114">
        <v>0.002513930356263752</v>
      </c>
      <c r="D476" s="90" t="s">
        <v>1378</v>
      </c>
      <c r="E476" s="90" t="b">
        <v>0</v>
      </c>
      <c r="F476" s="90" t="b">
        <v>0</v>
      </c>
      <c r="G476" s="90" t="b">
        <v>0</v>
      </c>
    </row>
    <row r="477" spans="1:7" ht="15">
      <c r="A477" s="87" t="s">
        <v>1898</v>
      </c>
      <c r="B477" s="90">
        <v>3</v>
      </c>
      <c r="C477" s="114">
        <v>0.002513930356263752</v>
      </c>
      <c r="D477" s="90" t="s">
        <v>1378</v>
      </c>
      <c r="E477" s="90" t="b">
        <v>0</v>
      </c>
      <c r="F477" s="90" t="b">
        <v>0</v>
      </c>
      <c r="G477" s="90" t="b">
        <v>0</v>
      </c>
    </row>
    <row r="478" spans="1:7" ht="15">
      <c r="A478" s="87" t="s">
        <v>1891</v>
      </c>
      <c r="B478" s="90">
        <v>3</v>
      </c>
      <c r="C478" s="114">
        <v>0.002513930356263752</v>
      </c>
      <c r="D478" s="90" t="s">
        <v>1378</v>
      </c>
      <c r="E478" s="90" t="b">
        <v>0</v>
      </c>
      <c r="F478" s="90" t="b">
        <v>0</v>
      </c>
      <c r="G478" s="90" t="b">
        <v>0</v>
      </c>
    </row>
    <row r="479" spans="1:7" ht="15">
      <c r="A479" s="87" t="s">
        <v>1900</v>
      </c>
      <c r="B479" s="90">
        <v>3</v>
      </c>
      <c r="C479" s="114">
        <v>0.002513930356263752</v>
      </c>
      <c r="D479" s="90" t="s">
        <v>1378</v>
      </c>
      <c r="E479" s="90" t="b">
        <v>0</v>
      </c>
      <c r="F479" s="90" t="b">
        <v>0</v>
      </c>
      <c r="G479" s="90" t="b">
        <v>0</v>
      </c>
    </row>
    <row r="480" spans="1:7" ht="15">
      <c r="A480" s="87" t="s">
        <v>1893</v>
      </c>
      <c r="B480" s="90">
        <v>3</v>
      </c>
      <c r="C480" s="114">
        <v>0.002513930356263752</v>
      </c>
      <c r="D480" s="90" t="s">
        <v>1378</v>
      </c>
      <c r="E480" s="90" t="b">
        <v>0</v>
      </c>
      <c r="F480" s="90" t="b">
        <v>1</v>
      </c>
      <c r="G480" s="90" t="b">
        <v>0</v>
      </c>
    </row>
    <row r="481" spans="1:7" ht="15">
      <c r="A481" s="87" t="s">
        <v>1892</v>
      </c>
      <c r="B481" s="90">
        <v>3</v>
      </c>
      <c r="C481" s="114">
        <v>0.002513930356263752</v>
      </c>
      <c r="D481" s="90" t="s">
        <v>1378</v>
      </c>
      <c r="E481" s="90" t="b">
        <v>0</v>
      </c>
      <c r="F481" s="90" t="b">
        <v>0</v>
      </c>
      <c r="G481" s="90" t="b">
        <v>0</v>
      </c>
    </row>
    <row r="482" spans="1:7" ht="15">
      <c r="A482" s="87" t="s">
        <v>1894</v>
      </c>
      <c r="B482" s="90">
        <v>3</v>
      </c>
      <c r="C482" s="114">
        <v>0.002513930356263752</v>
      </c>
      <c r="D482" s="90" t="s">
        <v>1378</v>
      </c>
      <c r="E482" s="90" t="b">
        <v>0</v>
      </c>
      <c r="F482" s="90" t="b">
        <v>0</v>
      </c>
      <c r="G482" s="90" t="b">
        <v>0</v>
      </c>
    </row>
    <row r="483" spans="1:7" ht="15">
      <c r="A483" s="87" t="s">
        <v>1895</v>
      </c>
      <c r="B483" s="90">
        <v>3</v>
      </c>
      <c r="C483" s="114">
        <v>0.002513930356263752</v>
      </c>
      <c r="D483" s="90" t="s">
        <v>1378</v>
      </c>
      <c r="E483" s="90" t="b">
        <v>0</v>
      </c>
      <c r="F483" s="90" t="b">
        <v>0</v>
      </c>
      <c r="G483" s="90" t="b">
        <v>0</v>
      </c>
    </row>
    <row r="484" spans="1:7" ht="15">
      <c r="A484" s="87" t="s">
        <v>1888</v>
      </c>
      <c r="B484" s="90">
        <v>3</v>
      </c>
      <c r="C484" s="114">
        <v>0.002513930356263752</v>
      </c>
      <c r="D484" s="90" t="s">
        <v>1378</v>
      </c>
      <c r="E484" s="90" t="b">
        <v>0</v>
      </c>
      <c r="F484" s="90" t="b">
        <v>0</v>
      </c>
      <c r="G484" s="90" t="b">
        <v>0</v>
      </c>
    </row>
    <row r="485" spans="1:7" ht="15">
      <c r="A485" s="87" t="s">
        <v>1897</v>
      </c>
      <c r="B485" s="90">
        <v>3</v>
      </c>
      <c r="C485" s="114">
        <v>0.002513930356263752</v>
      </c>
      <c r="D485" s="90" t="s">
        <v>1378</v>
      </c>
      <c r="E485" s="90" t="b">
        <v>0</v>
      </c>
      <c r="F485" s="90" t="b">
        <v>0</v>
      </c>
      <c r="G485" s="90" t="b">
        <v>0</v>
      </c>
    </row>
    <row r="486" spans="1:7" ht="15">
      <c r="A486" s="87" t="s">
        <v>1882</v>
      </c>
      <c r="B486" s="90">
        <v>2</v>
      </c>
      <c r="C486" s="114">
        <v>0.0018499567912532535</v>
      </c>
      <c r="D486" s="90" t="s">
        <v>1378</v>
      </c>
      <c r="E486" s="90" t="b">
        <v>0</v>
      </c>
      <c r="F486" s="90" t="b">
        <v>0</v>
      </c>
      <c r="G486" s="90" t="b">
        <v>0</v>
      </c>
    </row>
    <row r="487" spans="1:7" ht="15">
      <c r="A487" s="87" t="s">
        <v>1921</v>
      </c>
      <c r="B487" s="90">
        <v>2</v>
      </c>
      <c r="C487" s="114">
        <v>0.0018499567912532535</v>
      </c>
      <c r="D487" s="90" t="s">
        <v>1378</v>
      </c>
      <c r="E487" s="90" t="b">
        <v>0</v>
      </c>
      <c r="F487" s="90" t="b">
        <v>0</v>
      </c>
      <c r="G487" s="90" t="b">
        <v>0</v>
      </c>
    </row>
    <row r="488" spans="1:7" ht="15">
      <c r="A488" s="87" t="s">
        <v>1922</v>
      </c>
      <c r="B488" s="90">
        <v>2</v>
      </c>
      <c r="C488" s="114">
        <v>0.0018499567912532535</v>
      </c>
      <c r="D488" s="90" t="s">
        <v>1378</v>
      </c>
      <c r="E488" s="90" t="b">
        <v>0</v>
      </c>
      <c r="F488" s="90" t="b">
        <v>0</v>
      </c>
      <c r="G488" s="90" t="b">
        <v>0</v>
      </c>
    </row>
    <row r="489" spans="1:7" ht="15">
      <c r="A489" s="87" t="s">
        <v>2036</v>
      </c>
      <c r="B489" s="90">
        <v>2</v>
      </c>
      <c r="C489" s="114">
        <v>0.0021474172612769506</v>
      </c>
      <c r="D489" s="90" t="s">
        <v>1378</v>
      </c>
      <c r="E489" s="90" t="b">
        <v>0</v>
      </c>
      <c r="F489" s="90" t="b">
        <v>0</v>
      </c>
      <c r="G489" s="90" t="b">
        <v>0</v>
      </c>
    </row>
    <row r="490" spans="1:7" ht="15">
      <c r="A490" s="87" t="s">
        <v>2037</v>
      </c>
      <c r="B490" s="90">
        <v>2</v>
      </c>
      <c r="C490" s="114">
        <v>0.0021474172612769506</v>
      </c>
      <c r="D490" s="90" t="s">
        <v>1378</v>
      </c>
      <c r="E490" s="90" t="b">
        <v>0</v>
      </c>
      <c r="F490" s="90" t="b">
        <v>0</v>
      </c>
      <c r="G490" s="90" t="b">
        <v>0</v>
      </c>
    </row>
    <row r="491" spans="1:7" ht="15">
      <c r="A491" s="87" t="s">
        <v>2038</v>
      </c>
      <c r="B491" s="90">
        <v>2</v>
      </c>
      <c r="C491" s="114">
        <v>0.0021474172612769506</v>
      </c>
      <c r="D491" s="90" t="s">
        <v>1378</v>
      </c>
      <c r="E491" s="90" t="b">
        <v>0</v>
      </c>
      <c r="F491" s="90" t="b">
        <v>0</v>
      </c>
      <c r="G491" s="90" t="b">
        <v>0</v>
      </c>
    </row>
    <row r="492" spans="1:7" ht="15">
      <c r="A492" s="87" t="s">
        <v>1972</v>
      </c>
      <c r="B492" s="90">
        <v>2</v>
      </c>
      <c r="C492" s="114">
        <v>0.0018499567912532535</v>
      </c>
      <c r="D492" s="90" t="s">
        <v>1378</v>
      </c>
      <c r="E492" s="90" t="b">
        <v>0</v>
      </c>
      <c r="F492" s="90" t="b">
        <v>0</v>
      </c>
      <c r="G492" s="90" t="b">
        <v>0</v>
      </c>
    </row>
    <row r="493" spans="1:7" ht="15">
      <c r="A493" s="87" t="s">
        <v>1960</v>
      </c>
      <c r="B493" s="90">
        <v>2</v>
      </c>
      <c r="C493" s="114">
        <v>0.0018499567912532535</v>
      </c>
      <c r="D493" s="90" t="s">
        <v>1378</v>
      </c>
      <c r="E493" s="90" t="b">
        <v>0</v>
      </c>
      <c r="F493" s="90" t="b">
        <v>0</v>
      </c>
      <c r="G493" s="90" t="b">
        <v>0</v>
      </c>
    </row>
    <row r="494" spans="1:7" ht="15">
      <c r="A494" s="87" t="s">
        <v>1967</v>
      </c>
      <c r="B494" s="90">
        <v>2</v>
      </c>
      <c r="C494" s="114">
        <v>0.0018499567912532535</v>
      </c>
      <c r="D494" s="90" t="s">
        <v>1378</v>
      </c>
      <c r="E494" s="90" t="b">
        <v>0</v>
      </c>
      <c r="F494" s="90" t="b">
        <v>0</v>
      </c>
      <c r="G494" s="90" t="b">
        <v>0</v>
      </c>
    </row>
    <row r="495" spans="1:7" ht="15">
      <c r="A495" s="87" t="s">
        <v>1997</v>
      </c>
      <c r="B495" s="90">
        <v>2</v>
      </c>
      <c r="C495" s="114">
        <v>0.0018499567912532535</v>
      </c>
      <c r="D495" s="90" t="s">
        <v>1378</v>
      </c>
      <c r="E495" s="90" t="b">
        <v>0</v>
      </c>
      <c r="F495" s="90" t="b">
        <v>1</v>
      </c>
      <c r="G495" s="90" t="b">
        <v>0</v>
      </c>
    </row>
    <row r="496" spans="1:7" ht="15">
      <c r="A496" s="87" t="s">
        <v>1966</v>
      </c>
      <c r="B496" s="90">
        <v>2</v>
      </c>
      <c r="C496" s="114">
        <v>0.0018499567912532535</v>
      </c>
      <c r="D496" s="90" t="s">
        <v>1378</v>
      </c>
      <c r="E496" s="90" t="b">
        <v>0</v>
      </c>
      <c r="F496" s="90" t="b">
        <v>0</v>
      </c>
      <c r="G496" s="90" t="b">
        <v>0</v>
      </c>
    </row>
    <row r="497" spans="1:7" ht="15">
      <c r="A497" s="87" t="s">
        <v>1982</v>
      </c>
      <c r="B497" s="90">
        <v>2</v>
      </c>
      <c r="C497" s="114">
        <v>0.0018499567912532535</v>
      </c>
      <c r="D497" s="90" t="s">
        <v>1378</v>
      </c>
      <c r="E497" s="90" t="b">
        <v>0</v>
      </c>
      <c r="F497" s="90" t="b">
        <v>0</v>
      </c>
      <c r="G497" s="90" t="b">
        <v>0</v>
      </c>
    </row>
    <row r="498" spans="1:7" ht="15">
      <c r="A498" s="87" t="s">
        <v>1953</v>
      </c>
      <c r="B498" s="90">
        <v>2</v>
      </c>
      <c r="C498" s="114">
        <v>0.0018499567912532535</v>
      </c>
      <c r="D498" s="90" t="s">
        <v>1378</v>
      </c>
      <c r="E498" s="90" t="b">
        <v>0</v>
      </c>
      <c r="F498" s="90" t="b">
        <v>0</v>
      </c>
      <c r="G498" s="90" t="b">
        <v>0</v>
      </c>
    </row>
    <row r="499" spans="1:7" ht="15">
      <c r="A499" s="87" t="s">
        <v>1986</v>
      </c>
      <c r="B499" s="90">
        <v>2</v>
      </c>
      <c r="C499" s="114">
        <v>0.0018499567912532535</v>
      </c>
      <c r="D499" s="90" t="s">
        <v>1378</v>
      </c>
      <c r="E499" s="90" t="b">
        <v>0</v>
      </c>
      <c r="F499" s="90" t="b">
        <v>0</v>
      </c>
      <c r="G499" s="90" t="b">
        <v>0</v>
      </c>
    </row>
    <row r="500" spans="1:7" ht="15">
      <c r="A500" s="87" t="s">
        <v>1933</v>
      </c>
      <c r="B500" s="90">
        <v>2</v>
      </c>
      <c r="C500" s="114">
        <v>0.0018499567912532535</v>
      </c>
      <c r="D500" s="90" t="s">
        <v>1378</v>
      </c>
      <c r="E500" s="90" t="b">
        <v>0</v>
      </c>
      <c r="F500" s="90" t="b">
        <v>0</v>
      </c>
      <c r="G500" s="90" t="b">
        <v>0</v>
      </c>
    </row>
    <row r="501" spans="1:7" ht="15">
      <c r="A501" s="87" t="s">
        <v>1908</v>
      </c>
      <c r="B501" s="90">
        <v>2</v>
      </c>
      <c r="C501" s="114">
        <v>0.0018499567912532535</v>
      </c>
      <c r="D501" s="90" t="s">
        <v>1378</v>
      </c>
      <c r="E501" s="90" t="b">
        <v>0</v>
      </c>
      <c r="F501" s="90" t="b">
        <v>0</v>
      </c>
      <c r="G501" s="90" t="b">
        <v>0</v>
      </c>
    </row>
    <row r="502" spans="1:7" ht="15">
      <c r="A502" s="87" t="s">
        <v>1975</v>
      </c>
      <c r="B502" s="90">
        <v>2</v>
      </c>
      <c r="C502" s="114">
        <v>0.0018499567912532535</v>
      </c>
      <c r="D502" s="90" t="s">
        <v>1378</v>
      </c>
      <c r="E502" s="90" t="b">
        <v>0</v>
      </c>
      <c r="F502" s="90" t="b">
        <v>0</v>
      </c>
      <c r="G502" s="90" t="b">
        <v>0</v>
      </c>
    </row>
    <row r="503" spans="1:7" ht="15">
      <c r="A503" s="87" t="s">
        <v>1976</v>
      </c>
      <c r="B503" s="90">
        <v>2</v>
      </c>
      <c r="C503" s="114">
        <v>0.0018499567912532535</v>
      </c>
      <c r="D503" s="90" t="s">
        <v>1378</v>
      </c>
      <c r="E503" s="90" t="b">
        <v>0</v>
      </c>
      <c r="F503" s="90" t="b">
        <v>0</v>
      </c>
      <c r="G503" s="90" t="b">
        <v>0</v>
      </c>
    </row>
    <row r="504" spans="1:7" ht="15">
      <c r="A504" s="87" t="s">
        <v>1938</v>
      </c>
      <c r="B504" s="90">
        <v>2</v>
      </c>
      <c r="C504" s="114">
        <v>0.0018499567912532535</v>
      </c>
      <c r="D504" s="90" t="s">
        <v>1378</v>
      </c>
      <c r="E504" s="90" t="b">
        <v>0</v>
      </c>
      <c r="F504" s="90" t="b">
        <v>0</v>
      </c>
      <c r="G504" s="90" t="b">
        <v>0</v>
      </c>
    </row>
    <row r="505" spans="1:7" ht="15">
      <c r="A505" s="87" t="s">
        <v>1943</v>
      </c>
      <c r="B505" s="90">
        <v>2</v>
      </c>
      <c r="C505" s="114">
        <v>0.0018499567912532535</v>
      </c>
      <c r="D505" s="90" t="s">
        <v>1378</v>
      </c>
      <c r="E505" s="90" t="b">
        <v>0</v>
      </c>
      <c r="F505" s="90" t="b">
        <v>0</v>
      </c>
      <c r="G505" s="90" t="b">
        <v>0</v>
      </c>
    </row>
    <row r="506" spans="1:7" ht="15">
      <c r="A506" s="87" t="s">
        <v>1944</v>
      </c>
      <c r="B506" s="90">
        <v>2</v>
      </c>
      <c r="C506" s="114">
        <v>0.0018499567912532535</v>
      </c>
      <c r="D506" s="90" t="s">
        <v>1378</v>
      </c>
      <c r="E506" s="90" t="b">
        <v>1</v>
      </c>
      <c r="F506" s="90" t="b">
        <v>0</v>
      </c>
      <c r="G506" s="90" t="b">
        <v>0</v>
      </c>
    </row>
    <row r="507" spans="1:7" ht="15">
      <c r="A507" s="87" t="s">
        <v>1958</v>
      </c>
      <c r="B507" s="90">
        <v>2</v>
      </c>
      <c r="C507" s="114">
        <v>0.0018499567912532535</v>
      </c>
      <c r="D507" s="90" t="s">
        <v>1378</v>
      </c>
      <c r="E507" s="90" t="b">
        <v>0</v>
      </c>
      <c r="F507" s="90" t="b">
        <v>0</v>
      </c>
      <c r="G507" s="90" t="b">
        <v>0</v>
      </c>
    </row>
    <row r="508" spans="1:7" ht="15">
      <c r="A508" s="87" t="s">
        <v>1989</v>
      </c>
      <c r="B508" s="90">
        <v>2</v>
      </c>
      <c r="C508" s="114">
        <v>0.0018499567912532535</v>
      </c>
      <c r="D508" s="90" t="s">
        <v>1378</v>
      </c>
      <c r="E508" s="90" t="b">
        <v>0</v>
      </c>
      <c r="F508" s="90" t="b">
        <v>0</v>
      </c>
      <c r="G508" s="90" t="b">
        <v>0</v>
      </c>
    </row>
    <row r="509" spans="1:7" ht="15">
      <c r="A509" s="87" t="s">
        <v>1969</v>
      </c>
      <c r="B509" s="90">
        <v>2</v>
      </c>
      <c r="C509" s="114">
        <v>0.0018499567912532535</v>
      </c>
      <c r="D509" s="90" t="s">
        <v>1378</v>
      </c>
      <c r="E509" s="90" t="b">
        <v>0</v>
      </c>
      <c r="F509" s="90" t="b">
        <v>0</v>
      </c>
      <c r="G509" s="90" t="b">
        <v>0</v>
      </c>
    </row>
    <row r="510" spans="1:7" ht="15">
      <c r="A510" s="87" t="s">
        <v>2000</v>
      </c>
      <c r="B510" s="90">
        <v>2</v>
      </c>
      <c r="C510" s="114">
        <v>0.0018499567912532535</v>
      </c>
      <c r="D510" s="90" t="s">
        <v>1378</v>
      </c>
      <c r="E510" s="90" t="b">
        <v>0</v>
      </c>
      <c r="F510" s="90" t="b">
        <v>0</v>
      </c>
      <c r="G510" s="90" t="b">
        <v>0</v>
      </c>
    </row>
    <row r="511" spans="1:7" ht="15">
      <c r="A511" s="87" t="s">
        <v>1988</v>
      </c>
      <c r="B511" s="90">
        <v>2</v>
      </c>
      <c r="C511" s="114">
        <v>0.0018499567912532535</v>
      </c>
      <c r="D511" s="90" t="s">
        <v>1378</v>
      </c>
      <c r="E511" s="90" t="b">
        <v>0</v>
      </c>
      <c r="F511" s="90" t="b">
        <v>0</v>
      </c>
      <c r="G511" s="90" t="b">
        <v>0</v>
      </c>
    </row>
    <row r="512" spans="1:7" ht="15">
      <c r="A512" s="87" t="s">
        <v>1948</v>
      </c>
      <c r="B512" s="90">
        <v>2</v>
      </c>
      <c r="C512" s="114">
        <v>0.0018499567912532535</v>
      </c>
      <c r="D512" s="90" t="s">
        <v>1378</v>
      </c>
      <c r="E512" s="90" t="b">
        <v>0</v>
      </c>
      <c r="F512" s="90" t="b">
        <v>0</v>
      </c>
      <c r="G512" s="90" t="b">
        <v>0</v>
      </c>
    </row>
    <row r="513" spans="1:7" ht="15">
      <c r="A513" s="87" t="s">
        <v>1934</v>
      </c>
      <c r="B513" s="90">
        <v>2</v>
      </c>
      <c r="C513" s="114">
        <v>0.0018499567912532535</v>
      </c>
      <c r="D513" s="90" t="s">
        <v>1378</v>
      </c>
      <c r="E513" s="90" t="b">
        <v>0</v>
      </c>
      <c r="F513" s="90" t="b">
        <v>0</v>
      </c>
      <c r="G513" s="90" t="b">
        <v>0</v>
      </c>
    </row>
    <row r="514" spans="1:7" ht="15">
      <c r="A514" s="87" t="s">
        <v>2003</v>
      </c>
      <c r="B514" s="90">
        <v>2</v>
      </c>
      <c r="C514" s="114">
        <v>0.0018499567912532535</v>
      </c>
      <c r="D514" s="90" t="s">
        <v>1378</v>
      </c>
      <c r="E514" s="90" t="b">
        <v>0</v>
      </c>
      <c r="F514" s="90" t="b">
        <v>1</v>
      </c>
      <c r="G514" s="90" t="b">
        <v>0</v>
      </c>
    </row>
    <row r="515" spans="1:7" ht="15">
      <c r="A515" s="87" t="s">
        <v>1971</v>
      </c>
      <c r="B515" s="90">
        <v>2</v>
      </c>
      <c r="C515" s="114">
        <v>0.0018499567912532535</v>
      </c>
      <c r="D515" s="90" t="s">
        <v>1378</v>
      </c>
      <c r="E515" s="90" t="b">
        <v>0</v>
      </c>
      <c r="F515" s="90" t="b">
        <v>0</v>
      </c>
      <c r="G515" s="90" t="b">
        <v>0</v>
      </c>
    </row>
    <row r="516" spans="1:7" ht="15">
      <c r="A516" s="87" t="s">
        <v>1999</v>
      </c>
      <c r="B516" s="90">
        <v>2</v>
      </c>
      <c r="C516" s="114">
        <v>0.0018499567912532535</v>
      </c>
      <c r="D516" s="90" t="s">
        <v>1378</v>
      </c>
      <c r="E516" s="90" t="b">
        <v>0</v>
      </c>
      <c r="F516" s="90" t="b">
        <v>0</v>
      </c>
      <c r="G516" s="90" t="b">
        <v>0</v>
      </c>
    </row>
    <row r="517" spans="1:7" ht="15">
      <c r="A517" s="87" t="s">
        <v>1995</v>
      </c>
      <c r="B517" s="90">
        <v>2</v>
      </c>
      <c r="C517" s="114">
        <v>0.0018499567912532535</v>
      </c>
      <c r="D517" s="90" t="s">
        <v>1378</v>
      </c>
      <c r="E517" s="90" t="b">
        <v>0</v>
      </c>
      <c r="F517" s="90" t="b">
        <v>0</v>
      </c>
      <c r="G517" s="90" t="b">
        <v>0</v>
      </c>
    </row>
    <row r="518" spans="1:7" ht="15">
      <c r="A518" s="87" t="s">
        <v>2001</v>
      </c>
      <c r="B518" s="90">
        <v>2</v>
      </c>
      <c r="C518" s="114">
        <v>0.0018499567912532535</v>
      </c>
      <c r="D518" s="90" t="s">
        <v>1378</v>
      </c>
      <c r="E518" s="90" t="b">
        <v>0</v>
      </c>
      <c r="F518" s="90" t="b">
        <v>0</v>
      </c>
      <c r="G518" s="90" t="b">
        <v>0</v>
      </c>
    </row>
    <row r="519" spans="1:7" ht="15">
      <c r="A519" s="87" t="s">
        <v>1973</v>
      </c>
      <c r="B519" s="90">
        <v>2</v>
      </c>
      <c r="C519" s="114">
        <v>0.0018499567912532535</v>
      </c>
      <c r="D519" s="90" t="s">
        <v>1378</v>
      </c>
      <c r="E519" s="90" t="b">
        <v>0</v>
      </c>
      <c r="F519" s="90" t="b">
        <v>1</v>
      </c>
      <c r="G519" s="90" t="b">
        <v>0</v>
      </c>
    </row>
    <row r="520" spans="1:7" ht="15">
      <c r="A520" s="87" t="s">
        <v>1974</v>
      </c>
      <c r="B520" s="90">
        <v>2</v>
      </c>
      <c r="C520" s="114">
        <v>0.0018499567912532535</v>
      </c>
      <c r="D520" s="90" t="s">
        <v>1378</v>
      </c>
      <c r="E520" s="90" t="b">
        <v>0</v>
      </c>
      <c r="F520" s="90" t="b">
        <v>0</v>
      </c>
      <c r="G520" s="90" t="b">
        <v>0</v>
      </c>
    </row>
    <row r="521" spans="1:7" ht="15">
      <c r="A521" s="87" t="s">
        <v>1910</v>
      </c>
      <c r="B521" s="90">
        <v>2</v>
      </c>
      <c r="C521" s="114">
        <v>0.0018499567912532535</v>
      </c>
      <c r="D521" s="90" t="s">
        <v>1378</v>
      </c>
      <c r="E521" s="90" t="b">
        <v>0</v>
      </c>
      <c r="F521" s="90" t="b">
        <v>0</v>
      </c>
      <c r="G521" s="90" t="b">
        <v>0</v>
      </c>
    </row>
    <row r="522" spans="1:7" ht="15">
      <c r="A522" s="87" t="s">
        <v>1947</v>
      </c>
      <c r="B522" s="90">
        <v>2</v>
      </c>
      <c r="C522" s="114">
        <v>0.0018499567912532535</v>
      </c>
      <c r="D522" s="90" t="s">
        <v>1378</v>
      </c>
      <c r="E522" s="90" t="b">
        <v>0</v>
      </c>
      <c r="F522" s="90" t="b">
        <v>0</v>
      </c>
      <c r="G522" s="90" t="b">
        <v>0</v>
      </c>
    </row>
    <row r="523" spans="1:7" ht="15">
      <c r="A523" s="87" t="s">
        <v>1939</v>
      </c>
      <c r="B523" s="90">
        <v>2</v>
      </c>
      <c r="C523" s="114">
        <v>0.0018499567912532535</v>
      </c>
      <c r="D523" s="90" t="s">
        <v>1378</v>
      </c>
      <c r="E523" s="90" t="b">
        <v>0</v>
      </c>
      <c r="F523" s="90" t="b">
        <v>0</v>
      </c>
      <c r="G523" s="90" t="b">
        <v>0</v>
      </c>
    </row>
    <row r="524" spans="1:7" ht="15">
      <c r="A524" s="87" t="s">
        <v>1983</v>
      </c>
      <c r="B524" s="90">
        <v>2</v>
      </c>
      <c r="C524" s="114">
        <v>0.0018499567912532535</v>
      </c>
      <c r="D524" s="90" t="s">
        <v>1378</v>
      </c>
      <c r="E524" s="90" t="b">
        <v>0</v>
      </c>
      <c r="F524" s="90" t="b">
        <v>0</v>
      </c>
      <c r="G524" s="90" t="b">
        <v>0</v>
      </c>
    </row>
    <row r="525" spans="1:7" ht="15">
      <c r="A525" s="87" t="s">
        <v>1994</v>
      </c>
      <c r="B525" s="90">
        <v>2</v>
      </c>
      <c r="C525" s="114">
        <v>0.0018499567912532535</v>
      </c>
      <c r="D525" s="90" t="s">
        <v>1378</v>
      </c>
      <c r="E525" s="90" t="b">
        <v>0</v>
      </c>
      <c r="F525" s="90" t="b">
        <v>0</v>
      </c>
      <c r="G525" s="90" t="b">
        <v>0</v>
      </c>
    </row>
    <row r="526" spans="1:7" ht="15">
      <c r="A526" s="87" t="s">
        <v>1992</v>
      </c>
      <c r="B526" s="90">
        <v>2</v>
      </c>
      <c r="C526" s="114">
        <v>0.0018499567912532535</v>
      </c>
      <c r="D526" s="90" t="s">
        <v>1378</v>
      </c>
      <c r="E526" s="90" t="b">
        <v>0</v>
      </c>
      <c r="F526" s="90" t="b">
        <v>0</v>
      </c>
      <c r="G526" s="90" t="b">
        <v>0</v>
      </c>
    </row>
    <row r="527" spans="1:7" ht="15">
      <c r="A527" s="87" t="s">
        <v>1991</v>
      </c>
      <c r="B527" s="90">
        <v>2</v>
      </c>
      <c r="C527" s="114">
        <v>0.0018499567912532535</v>
      </c>
      <c r="D527" s="90" t="s">
        <v>1378</v>
      </c>
      <c r="E527" s="90" t="b">
        <v>0</v>
      </c>
      <c r="F527" s="90" t="b">
        <v>0</v>
      </c>
      <c r="G527" s="90" t="b">
        <v>0</v>
      </c>
    </row>
    <row r="528" spans="1:7" ht="15">
      <c r="A528" s="87" t="s">
        <v>1941</v>
      </c>
      <c r="B528" s="90">
        <v>2</v>
      </c>
      <c r="C528" s="114">
        <v>0.0018499567912532535</v>
      </c>
      <c r="D528" s="90" t="s">
        <v>1378</v>
      </c>
      <c r="E528" s="90" t="b">
        <v>0</v>
      </c>
      <c r="F528" s="90" t="b">
        <v>0</v>
      </c>
      <c r="G528" s="90" t="b">
        <v>0</v>
      </c>
    </row>
    <row r="529" spans="1:7" ht="15">
      <c r="A529" s="87" t="s">
        <v>1978</v>
      </c>
      <c r="B529" s="90">
        <v>2</v>
      </c>
      <c r="C529" s="114">
        <v>0.0018499567912532535</v>
      </c>
      <c r="D529" s="90" t="s">
        <v>1378</v>
      </c>
      <c r="E529" s="90" t="b">
        <v>0</v>
      </c>
      <c r="F529" s="90" t="b">
        <v>1</v>
      </c>
      <c r="G529" s="90" t="b">
        <v>0</v>
      </c>
    </row>
    <row r="530" spans="1:7" ht="15">
      <c r="A530" s="87" t="s">
        <v>1950</v>
      </c>
      <c r="B530" s="90">
        <v>2</v>
      </c>
      <c r="C530" s="114">
        <v>0.0018499567912532535</v>
      </c>
      <c r="D530" s="90" t="s">
        <v>1378</v>
      </c>
      <c r="E530" s="90" t="b">
        <v>0</v>
      </c>
      <c r="F530" s="90" t="b">
        <v>0</v>
      </c>
      <c r="G530" s="90" t="b">
        <v>0</v>
      </c>
    </row>
    <row r="531" spans="1:7" ht="15">
      <c r="A531" s="87" t="s">
        <v>1970</v>
      </c>
      <c r="B531" s="90">
        <v>2</v>
      </c>
      <c r="C531" s="114">
        <v>0.0018499567912532535</v>
      </c>
      <c r="D531" s="90" t="s">
        <v>1378</v>
      </c>
      <c r="E531" s="90" t="b">
        <v>0</v>
      </c>
      <c r="F531" s="90" t="b">
        <v>0</v>
      </c>
      <c r="G531" s="90" t="b">
        <v>0</v>
      </c>
    </row>
    <row r="532" spans="1:7" ht="15">
      <c r="A532" s="87" t="s">
        <v>1949</v>
      </c>
      <c r="B532" s="90">
        <v>2</v>
      </c>
      <c r="C532" s="114">
        <v>0.0018499567912532535</v>
      </c>
      <c r="D532" s="90" t="s">
        <v>1378</v>
      </c>
      <c r="E532" s="90" t="b">
        <v>0</v>
      </c>
      <c r="F532" s="90" t="b">
        <v>0</v>
      </c>
      <c r="G532" s="90" t="b">
        <v>0</v>
      </c>
    </row>
    <row r="533" spans="1:7" ht="15">
      <c r="A533" s="87" t="s">
        <v>1952</v>
      </c>
      <c r="B533" s="90">
        <v>2</v>
      </c>
      <c r="C533" s="114">
        <v>0.0018499567912532535</v>
      </c>
      <c r="D533" s="90" t="s">
        <v>1378</v>
      </c>
      <c r="E533" s="90" t="b">
        <v>0</v>
      </c>
      <c r="F533" s="90" t="b">
        <v>0</v>
      </c>
      <c r="G533" s="90" t="b">
        <v>0</v>
      </c>
    </row>
    <row r="534" spans="1:7" ht="15">
      <c r="A534" s="87" t="s">
        <v>1977</v>
      </c>
      <c r="B534" s="90">
        <v>2</v>
      </c>
      <c r="C534" s="114">
        <v>0.0018499567912532535</v>
      </c>
      <c r="D534" s="90" t="s">
        <v>1378</v>
      </c>
      <c r="E534" s="90" t="b">
        <v>0</v>
      </c>
      <c r="F534" s="90" t="b">
        <v>0</v>
      </c>
      <c r="G534" s="90" t="b">
        <v>0</v>
      </c>
    </row>
    <row r="535" spans="1:7" ht="15">
      <c r="A535" s="87" t="s">
        <v>1961</v>
      </c>
      <c r="B535" s="90">
        <v>2</v>
      </c>
      <c r="C535" s="114">
        <v>0.0018499567912532535</v>
      </c>
      <c r="D535" s="90" t="s">
        <v>1378</v>
      </c>
      <c r="E535" s="90" t="b">
        <v>0</v>
      </c>
      <c r="F535" s="90" t="b">
        <v>0</v>
      </c>
      <c r="G535" s="90" t="b">
        <v>0</v>
      </c>
    </row>
    <row r="536" spans="1:7" ht="15">
      <c r="A536" s="87" t="s">
        <v>1987</v>
      </c>
      <c r="B536" s="90">
        <v>2</v>
      </c>
      <c r="C536" s="114">
        <v>0.0018499567912532535</v>
      </c>
      <c r="D536" s="90" t="s">
        <v>1378</v>
      </c>
      <c r="E536" s="90" t="b">
        <v>0</v>
      </c>
      <c r="F536" s="90" t="b">
        <v>0</v>
      </c>
      <c r="G536" s="90" t="b">
        <v>0</v>
      </c>
    </row>
    <row r="537" spans="1:7" ht="15">
      <c r="A537" s="87" t="s">
        <v>1990</v>
      </c>
      <c r="B537" s="90">
        <v>2</v>
      </c>
      <c r="C537" s="114">
        <v>0.0018499567912532535</v>
      </c>
      <c r="D537" s="90" t="s">
        <v>1378</v>
      </c>
      <c r="E537" s="90" t="b">
        <v>0</v>
      </c>
      <c r="F537" s="90" t="b">
        <v>0</v>
      </c>
      <c r="G537" s="90" t="b">
        <v>0</v>
      </c>
    </row>
    <row r="538" spans="1:7" ht="15">
      <c r="A538" s="87" t="s">
        <v>1932</v>
      </c>
      <c r="B538" s="90">
        <v>2</v>
      </c>
      <c r="C538" s="114">
        <v>0.0018499567912532535</v>
      </c>
      <c r="D538" s="90" t="s">
        <v>1378</v>
      </c>
      <c r="E538" s="90" t="b">
        <v>0</v>
      </c>
      <c r="F538" s="90" t="b">
        <v>0</v>
      </c>
      <c r="G538" s="90" t="b">
        <v>0</v>
      </c>
    </row>
    <row r="539" spans="1:7" ht="15">
      <c r="A539" s="87" t="s">
        <v>1889</v>
      </c>
      <c r="B539" s="90">
        <v>2</v>
      </c>
      <c r="C539" s="114">
        <v>0.0018499567912532535</v>
      </c>
      <c r="D539" s="90" t="s">
        <v>1378</v>
      </c>
      <c r="E539" s="90" t="b">
        <v>0</v>
      </c>
      <c r="F539" s="90" t="b">
        <v>0</v>
      </c>
      <c r="G539" s="90" t="b">
        <v>0</v>
      </c>
    </row>
    <row r="540" spans="1:7" ht="15">
      <c r="A540" s="87" t="s">
        <v>1981</v>
      </c>
      <c r="B540" s="90">
        <v>2</v>
      </c>
      <c r="C540" s="114">
        <v>0.0018499567912532535</v>
      </c>
      <c r="D540" s="90" t="s">
        <v>1378</v>
      </c>
      <c r="E540" s="90" t="b">
        <v>0</v>
      </c>
      <c r="F540" s="90" t="b">
        <v>0</v>
      </c>
      <c r="G540" s="90" t="b">
        <v>0</v>
      </c>
    </row>
    <row r="541" spans="1:7" ht="15">
      <c r="A541" s="87" t="s">
        <v>1979</v>
      </c>
      <c r="B541" s="90">
        <v>2</v>
      </c>
      <c r="C541" s="114">
        <v>0.0018499567912532535</v>
      </c>
      <c r="D541" s="90" t="s">
        <v>1378</v>
      </c>
      <c r="E541" s="90" t="b">
        <v>0</v>
      </c>
      <c r="F541" s="90" t="b">
        <v>0</v>
      </c>
      <c r="G541" s="90" t="b">
        <v>0</v>
      </c>
    </row>
    <row r="542" spans="1:7" ht="15">
      <c r="A542" s="87" t="s">
        <v>1964</v>
      </c>
      <c r="B542" s="90">
        <v>2</v>
      </c>
      <c r="C542" s="114">
        <v>0.0018499567912532535</v>
      </c>
      <c r="D542" s="90" t="s">
        <v>1378</v>
      </c>
      <c r="E542" s="90" t="b">
        <v>0</v>
      </c>
      <c r="F542" s="90" t="b">
        <v>0</v>
      </c>
      <c r="G542" s="90" t="b">
        <v>0</v>
      </c>
    </row>
    <row r="543" spans="1:7" ht="15">
      <c r="A543" s="87" t="s">
        <v>1524</v>
      </c>
      <c r="B543" s="90">
        <v>2</v>
      </c>
      <c r="C543" s="114">
        <v>0.0018499567912532535</v>
      </c>
      <c r="D543" s="90" t="s">
        <v>1378</v>
      </c>
      <c r="E543" s="90" t="b">
        <v>0</v>
      </c>
      <c r="F543" s="90" t="b">
        <v>0</v>
      </c>
      <c r="G543" s="90" t="b">
        <v>0</v>
      </c>
    </row>
    <row r="544" spans="1:7" ht="15">
      <c r="A544" s="87" t="s">
        <v>1959</v>
      </c>
      <c r="B544" s="90">
        <v>2</v>
      </c>
      <c r="C544" s="114">
        <v>0.0018499567912532535</v>
      </c>
      <c r="D544" s="90" t="s">
        <v>1378</v>
      </c>
      <c r="E544" s="90" t="b">
        <v>0</v>
      </c>
      <c r="F544" s="90" t="b">
        <v>0</v>
      </c>
      <c r="G544" s="90" t="b">
        <v>0</v>
      </c>
    </row>
    <row r="545" spans="1:7" ht="15">
      <c r="A545" s="87" t="s">
        <v>1965</v>
      </c>
      <c r="B545" s="90">
        <v>2</v>
      </c>
      <c r="C545" s="114">
        <v>0.0018499567912532535</v>
      </c>
      <c r="D545" s="90" t="s">
        <v>1378</v>
      </c>
      <c r="E545" s="90" t="b">
        <v>0</v>
      </c>
      <c r="F545" s="90" t="b">
        <v>0</v>
      </c>
      <c r="G545" s="90" t="b">
        <v>0</v>
      </c>
    </row>
    <row r="546" spans="1:7" ht="15">
      <c r="A546" s="87" t="s">
        <v>1957</v>
      </c>
      <c r="B546" s="90">
        <v>2</v>
      </c>
      <c r="C546" s="114">
        <v>0.0018499567912532535</v>
      </c>
      <c r="D546" s="90" t="s">
        <v>1378</v>
      </c>
      <c r="E546" s="90" t="b">
        <v>0</v>
      </c>
      <c r="F546" s="90" t="b">
        <v>0</v>
      </c>
      <c r="G546" s="90" t="b">
        <v>0</v>
      </c>
    </row>
    <row r="547" spans="1:7" ht="15">
      <c r="A547" s="87" t="s">
        <v>1955</v>
      </c>
      <c r="B547" s="90">
        <v>2</v>
      </c>
      <c r="C547" s="114">
        <v>0.0018499567912532535</v>
      </c>
      <c r="D547" s="90" t="s">
        <v>1378</v>
      </c>
      <c r="E547" s="90" t="b">
        <v>0</v>
      </c>
      <c r="F547" s="90" t="b">
        <v>0</v>
      </c>
      <c r="G547" s="90" t="b">
        <v>0</v>
      </c>
    </row>
    <row r="548" spans="1:7" ht="15">
      <c r="A548" s="87" t="s">
        <v>1968</v>
      </c>
      <c r="B548" s="90">
        <v>2</v>
      </c>
      <c r="C548" s="114">
        <v>0.0018499567912532535</v>
      </c>
      <c r="D548" s="90" t="s">
        <v>1378</v>
      </c>
      <c r="E548" s="90" t="b">
        <v>0</v>
      </c>
      <c r="F548" s="90" t="b">
        <v>1</v>
      </c>
      <c r="G548" s="90" t="b">
        <v>0</v>
      </c>
    </row>
    <row r="549" spans="1:7" ht="15">
      <c r="A549" s="87" t="s">
        <v>1930</v>
      </c>
      <c r="B549" s="90">
        <v>2</v>
      </c>
      <c r="C549" s="114">
        <v>0.0018499567912532535</v>
      </c>
      <c r="D549" s="90" t="s">
        <v>1378</v>
      </c>
      <c r="E549" s="90" t="b">
        <v>0</v>
      </c>
      <c r="F549" s="90" t="b">
        <v>0</v>
      </c>
      <c r="G549" s="90" t="b">
        <v>0</v>
      </c>
    </row>
    <row r="550" spans="1:7" ht="15">
      <c r="A550" s="87" t="s">
        <v>1956</v>
      </c>
      <c r="B550" s="90">
        <v>2</v>
      </c>
      <c r="C550" s="114">
        <v>0.0018499567912532535</v>
      </c>
      <c r="D550" s="90" t="s">
        <v>1378</v>
      </c>
      <c r="E550" s="90" t="b">
        <v>0</v>
      </c>
      <c r="F550" s="90" t="b">
        <v>0</v>
      </c>
      <c r="G550" s="90" t="b">
        <v>0</v>
      </c>
    </row>
    <row r="551" spans="1:7" ht="15">
      <c r="A551" s="87" t="s">
        <v>1945</v>
      </c>
      <c r="B551" s="90">
        <v>2</v>
      </c>
      <c r="C551" s="114">
        <v>0.0018499567912532535</v>
      </c>
      <c r="D551" s="90" t="s">
        <v>1378</v>
      </c>
      <c r="E551" s="90" t="b">
        <v>0</v>
      </c>
      <c r="F551" s="90" t="b">
        <v>0</v>
      </c>
      <c r="G551" s="90" t="b">
        <v>0</v>
      </c>
    </row>
    <row r="552" spans="1:7" ht="15">
      <c r="A552" s="87" t="s">
        <v>1946</v>
      </c>
      <c r="B552" s="90">
        <v>2</v>
      </c>
      <c r="C552" s="114">
        <v>0.0018499567912532535</v>
      </c>
      <c r="D552" s="90" t="s">
        <v>1378</v>
      </c>
      <c r="E552" s="90" t="b">
        <v>0</v>
      </c>
      <c r="F552" s="90" t="b">
        <v>0</v>
      </c>
      <c r="G552" s="90" t="b">
        <v>0</v>
      </c>
    </row>
    <row r="553" spans="1:7" ht="15">
      <c r="A553" s="87" t="s">
        <v>1937</v>
      </c>
      <c r="B553" s="90">
        <v>2</v>
      </c>
      <c r="C553" s="114">
        <v>0.0018499567912532535</v>
      </c>
      <c r="D553" s="90" t="s">
        <v>1378</v>
      </c>
      <c r="E553" s="90" t="b">
        <v>0</v>
      </c>
      <c r="F553" s="90" t="b">
        <v>0</v>
      </c>
      <c r="G553" s="90" t="b">
        <v>0</v>
      </c>
    </row>
    <row r="554" spans="1:7" ht="15">
      <c r="A554" s="87" t="s">
        <v>1886</v>
      </c>
      <c r="B554" s="90">
        <v>2</v>
      </c>
      <c r="C554" s="114">
        <v>0.0018499567912532535</v>
      </c>
      <c r="D554" s="90" t="s">
        <v>1378</v>
      </c>
      <c r="E554" s="90" t="b">
        <v>0</v>
      </c>
      <c r="F554" s="90" t="b">
        <v>0</v>
      </c>
      <c r="G554" s="90" t="b">
        <v>0</v>
      </c>
    </row>
    <row r="555" spans="1:7" ht="15">
      <c r="A555" s="87" t="s">
        <v>1940</v>
      </c>
      <c r="B555" s="90">
        <v>2</v>
      </c>
      <c r="C555" s="114">
        <v>0.0018499567912532535</v>
      </c>
      <c r="D555" s="90" t="s">
        <v>1378</v>
      </c>
      <c r="E555" s="90" t="b">
        <v>0</v>
      </c>
      <c r="F555" s="90" t="b">
        <v>0</v>
      </c>
      <c r="G555" s="90" t="b">
        <v>0</v>
      </c>
    </row>
    <row r="556" spans="1:7" ht="15">
      <c r="A556" s="87" t="s">
        <v>1951</v>
      </c>
      <c r="B556" s="90">
        <v>2</v>
      </c>
      <c r="C556" s="114">
        <v>0.0018499567912532535</v>
      </c>
      <c r="D556" s="90" t="s">
        <v>1378</v>
      </c>
      <c r="E556" s="90" t="b">
        <v>0</v>
      </c>
      <c r="F556" s="90" t="b">
        <v>0</v>
      </c>
      <c r="G556" s="90" t="b">
        <v>0</v>
      </c>
    </row>
    <row r="557" spans="1:7" ht="15">
      <c r="A557" s="87" t="s">
        <v>1942</v>
      </c>
      <c r="B557" s="90">
        <v>2</v>
      </c>
      <c r="C557" s="114">
        <v>0.0018499567912532535</v>
      </c>
      <c r="D557" s="90" t="s">
        <v>1378</v>
      </c>
      <c r="E557" s="90" t="b">
        <v>0</v>
      </c>
      <c r="F557" s="90" t="b">
        <v>0</v>
      </c>
      <c r="G557" s="90" t="b">
        <v>0</v>
      </c>
    </row>
    <row r="558" spans="1:7" ht="15">
      <c r="A558" s="87" t="s">
        <v>1931</v>
      </c>
      <c r="B558" s="90">
        <v>2</v>
      </c>
      <c r="C558" s="114">
        <v>0.0018499567912532535</v>
      </c>
      <c r="D558" s="90" t="s">
        <v>1378</v>
      </c>
      <c r="E558" s="90" t="b">
        <v>0</v>
      </c>
      <c r="F558" s="90" t="b">
        <v>0</v>
      </c>
      <c r="G558" s="90" t="b">
        <v>0</v>
      </c>
    </row>
    <row r="559" spans="1:7" ht="15">
      <c r="A559" s="87" t="s">
        <v>1935</v>
      </c>
      <c r="B559" s="90">
        <v>2</v>
      </c>
      <c r="C559" s="114">
        <v>0.0018499567912532535</v>
      </c>
      <c r="D559" s="90" t="s">
        <v>1378</v>
      </c>
      <c r="E559" s="90" t="b">
        <v>0</v>
      </c>
      <c r="F559" s="90" t="b">
        <v>0</v>
      </c>
      <c r="G559" s="90" t="b">
        <v>0</v>
      </c>
    </row>
    <row r="560" spans="1:7" ht="15">
      <c r="A560" s="87" t="s">
        <v>1936</v>
      </c>
      <c r="B560" s="90">
        <v>2</v>
      </c>
      <c r="C560" s="114">
        <v>0.0018499567912532535</v>
      </c>
      <c r="D560" s="90" t="s">
        <v>1378</v>
      </c>
      <c r="E560" s="90" t="b">
        <v>0</v>
      </c>
      <c r="F560" s="90" t="b">
        <v>0</v>
      </c>
      <c r="G560" s="90" t="b">
        <v>0</v>
      </c>
    </row>
    <row r="561" spans="1:7" ht="15">
      <c r="A561" s="87" t="s">
        <v>321</v>
      </c>
      <c r="B561" s="90">
        <v>4</v>
      </c>
      <c r="C561" s="114">
        <v>0</v>
      </c>
      <c r="D561" s="90" t="s">
        <v>1379</v>
      </c>
      <c r="E561" s="90" t="b">
        <v>0</v>
      </c>
      <c r="F561" s="90" t="b">
        <v>0</v>
      </c>
      <c r="G561" s="90" t="b">
        <v>0</v>
      </c>
    </row>
    <row r="562" spans="1:7" ht="15">
      <c r="A562" s="87" t="s">
        <v>1495</v>
      </c>
      <c r="B562" s="90">
        <v>4</v>
      </c>
      <c r="C562" s="114">
        <v>0</v>
      </c>
      <c r="D562" s="90" t="s">
        <v>1379</v>
      </c>
      <c r="E562" s="90" t="b">
        <v>0</v>
      </c>
      <c r="F562" s="90" t="b">
        <v>0</v>
      </c>
      <c r="G562" s="90" t="b">
        <v>0</v>
      </c>
    </row>
    <row r="563" spans="1:7" ht="15">
      <c r="A563" s="87" t="s">
        <v>1496</v>
      </c>
      <c r="B563" s="90">
        <v>4</v>
      </c>
      <c r="C563" s="114">
        <v>0</v>
      </c>
      <c r="D563" s="90" t="s">
        <v>1379</v>
      </c>
      <c r="E563" s="90" t="b">
        <v>0</v>
      </c>
      <c r="F563" s="90" t="b">
        <v>0</v>
      </c>
      <c r="G563" s="90" t="b">
        <v>0</v>
      </c>
    </row>
    <row r="564" spans="1:7" ht="15">
      <c r="A564" s="87" t="s">
        <v>320</v>
      </c>
      <c r="B564" s="90">
        <v>3</v>
      </c>
      <c r="C564" s="114">
        <v>0.01171300655702812</v>
      </c>
      <c r="D564" s="90" t="s">
        <v>1379</v>
      </c>
      <c r="E564" s="90" t="b">
        <v>0</v>
      </c>
      <c r="F564" s="90" t="b">
        <v>0</v>
      </c>
      <c r="G564" s="90" t="b">
        <v>0</v>
      </c>
    </row>
    <row r="565" spans="1:7" ht="15">
      <c r="A565" s="87" t="s">
        <v>539</v>
      </c>
      <c r="B565" s="90">
        <v>3</v>
      </c>
      <c r="C565" s="114">
        <v>0.01171300655702812</v>
      </c>
      <c r="D565" s="90" t="s">
        <v>1379</v>
      </c>
      <c r="E565" s="90" t="b">
        <v>0</v>
      </c>
      <c r="F565" s="90" t="b">
        <v>0</v>
      </c>
      <c r="G565" s="90" t="b">
        <v>0</v>
      </c>
    </row>
    <row r="566" spans="1:7" ht="15">
      <c r="A566" s="87" t="s">
        <v>1513</v>
      </c>
      <c r="B566" s="90">
        <v>3</v>
      </c>
      <c r="C566" s="114">
        <v>0.01171300655702812</v>
      </c>
      <c r="D566" s="90" t="s">
        <v>1379</v>
      </c>
      <c r="E566" s="90" t="b">
        <v>0</v>
      </c>
      <c r="F566" s="90" t="b">
        <v>0</v>
      </c>
      <c r="G566" s="90" t="b">
        <v>0</v>
      </c>
    </row>
    <row r="567" spans="1:7" ht="15">
      <c r="A567" s="87" t="s">
        <v>328</v>
      </c>
      <c r="B567" s="90">
        <v>2</v>
      </c>
      <c r="C567" s="114">
        <v>0.018814374728998825</v>
      </c>
      <c r="D567" s="90" t="s">
        <v>1379</v>
      </c>
      <c r="E567" s="90" t="b">
        <v>0</v>
      </c>
      <c r="F567" s="90" t="b">
        <v>0</v>
      </c>
      <c r="G567" s="90" t="b">
        <v>0</v>
      </c>
    </row>
    <row r="568" spans="1:7" ht="15">
      <c r="A568" s="87" t="s">
        <v>1516</v>
      </c>
      <c r="B568" s="90">
        <v>2</v>
      </c>
      <c r="C568" s="114">
        <v>0</v>
      </c>
      <c r="D568" s="90" t="s">
        <v>1381</v>
      </c>
      <c r="E568" s="90" t="b">
        <v>0</v>
      </c>
      <c r="F568" s="90" t="b">
        <v>0</v>
      </c>
      <c r="G568" s="90" t="b">
        <v>0</v>
      </c>
    </row>
    <row r="569" spans="1:7" ht="15">
      <c r="A569" s="87" t="s">
        <v>1517</v>
      </c>
      <c r="B569" s="90">
        <v>2</v>
      </c>
      <c r="C569" s="114">
        <v>0</v>
      </c>
      <c r="D569" s="90" t="s">
        <v>1381</v>
      </c>
      <c r="E569" s="90" t="b">
        <v>0</v>
      </c>
      <c r="F569" s="90" t="b">
        <v>0</v>
      </c>
      <c r="G569" s="90" t="b">
        <v>0</v>
      </c>
    </row>
    <row r="570" spans="1:7" ht="15">
      <c r="A570" s="87" t="s">
        <v>1495</v>
      </c>
      <c r="B570" s="90">
        <v>5</v>
      </c>
      <c r="C570" s="114">
        <v>0.006710275088781764</v>
      </c>
      <c r="D570" s="90" t="s">
        <v>1382</v>
      </c>
      <c r="E570" s="90" t="b">
        <v>0</v>
      </c>
      <c r="F570" s="90" t="b">
        <v>0</v>
      </c>
      <c r="G570" s="90" t="b">
        <v>0</v>
      </c>
    </row>
    <row r="571" spans="1:7" ht="15">
      <c r="A571" s="87" t="s">
        <v>1496</v>
      </c>
      <c r="B571" s="90">
        <v>5</v>
      </c>
      <c r="C571" s="114">
        <v>0.006710275088781764</v>
      </c>
      <c r="D571" s="90" t="s">
        <v>1382</v>
      </c>
      <c r="E571" s="90" t="b">
        <v>0</v>
      </c>
      <c r="F571" s="90" t="b">
        <v>0</v>
      </c>
      <c r="G571" s="90" t="b">
        <v>0</v>
      </c>
    </row>
    <row r="572" spans="1:7" ht="15">
      <c r="A572" s="87" t="s">
        <v>1475</v>
      </c>
      <c r="B572" s="90">
        <v>5</v>
      </c>
      <c r="C572" s="114">
        <v>0.006710275088781764</v>
      </c>
      <c r="D572" s="90" t="s">
        <v>1382</v>
      </c>
      <c r="E572" s="90" t="b">
        <v>0</v>
      </c>
      <c r="F572" s="90" t="b">
        <v>0</v>
      </c>
      <c r="G572" s="90" t="b">
        <v>0</v>
      </c>
    </row>
    <row r="573" spans="1:7" ht="15">
      <c r="A573" s="87" t="s">
        <v>1519</v>
      </c>
      <c r="B573" s="90">
        <v>4</v>
      </c>
      <c r="C573" s="114">
        <v>0.011938390444452966</v>
      </c>
      <c r="D573" s="90" t="s">
        <v>1382</v>
      </c>
      <c r="E573" s="90" t="b">
        <v>0</v>
      </c>
      <c r="F573" s="90" t="b">
        <v>0</v>
      </c>
      <c r="G573" s="90" t="b">
        <v>0</v>
      </c>
    </row>
    <row r="574" spans="1:7" ht="15">
      <c r="A574" s="87" t="s">
        <v>1520</v>
      </c>
      <c r="B574" s="90">
        <v>4</v>
      </c>
      <c r="C574" s="114">
        <v>0.011938390444452966</v>
      </c>
      <c r="D574" s="90" t="s">
        <v>1382</v>
      </c>
      <c r="E574" s="90" t="b">
        <v>0</v>
      </c>
      <c r="F574" s="90" t="b">
        <v>0</v>
      </c>
      <c r="G574" s="90" t="b">
        <v>0</v>
      </c>
    </row>
    <row r="575" spans="1:7" ht="15">
      <c r="A575" s="87" t="s">
        <v>1521</v>
      </c>
      <c r="B575" s="90">
        <v>4</v>
      </c>
      <c r="C575" s="114">
        <v>0.011938390444452966</v>
      </c>
      <c r="D575" s="90" t="s">
        <v>1382</v>
      </c>
      <c r="E575" s="90" t="b">
        <v>0</v>
      </c>
      <c r="F575" s="90" t="b">
        <v>0</v>
      </c>
      <c r="G575" s="90" t="b">
        <v>0</v>
      </c>
    </row>
    <row r="576" spans="1:7" ht="15">
      <c r="A576" s="87" t="s">
        <v>1522</v>
      </c>
      <c r="B576" s="90">
        <v>4</v>
      </c>
      <c r="C576" s="114">
        <v>0.011938390444452966</v>
      </c>
      <c r="D576" s="90" t="s">
        <v>1382</v>
      </c>
      <c r="E576" s="90" t="b">
        <v>1</v>
      </c>
      <c r="F576" s="90" t="b">
        <v>0</v>
      </c>
      <c r="G576" s="90" t="b">
        <v>0</v>
      </c>
    </row>
    <row r="577" spans="1:7" ht="15">
      <c r="A577" s="87" t="s">
        <v>1523</v>
      </c>
      <c r="B577" s="90">
        <v>4</v>
      </c>
      <c r="C577" s="114">
        <v>0.011938390444452966</v>
      </c>
      <c r="D577" s="90" t="s">
        <v>1382</v>
      </c>
      <c r="E577" s="90" t="b">
        <v>0</v>
      </c>
      <c r="F577" s="90" t="b">
        <v>0</v>
      </c>
      <c r="G577" s="90" t="b">
        <v>0</v>
      </c>
    </row>
    <row r="578" spans="1:7" ht="15">
      <c r="A578" s="87" t="s">
        <v>1524</v>
      </c>
      <c r="B578" s="90">
        <v>4</v>
      </c>
      <c r="C578" s="114">
        <v>0.011938390444452966</v>
      </c>
      <c r="D578" s="90" t="s">
        <v>1382</v>
      </c>
      <c r="E578" s="90" t="b">
        <v>0</v>
      </c>
      <c r="F578" s="90" t="b">
        <v>0</v>
      </c>
      <c r="G578" s="90" t="b">
        <v>0</v>
      </c>
    </row>
    <row r="579" spans="1:7" ht="15">
      <c r="A579" s="87" t="s">
        <v>265</v>
      </c>
      <c r="B579" s="90">
        <v>4</v>
      </c>
      <c r="C579" s="114">
        <v>0.011938390444452966</v>
      </c>
      <c r="D579" s="90" t="s">
        <v>1382</v>
      </c>
      <c r="E579" s="90" t="b">
        <v>0</v>
      </c>
      <c r="F579" s="90" t="b">
        <v>0</v>
      </c>
      <c r="G579" s="90" t="b">
        <v>0</v>
      </c>
    </row>
    <row r="580" spans="1:7" ht="15">
      <c r="A580" s="87" t="s">
        <v>1495</v>
      </c>
      <c r="B580" s="90">
        <v>2</v>
      </c>
      <c r="C580" s="114">
        <v>0.01677059610054107</v>
      </c>
      <c r="D580" s="90" t="s">
        <v>1383</v>
      </c>
      <c r="E580" s="90" t="b">
        <v>0</v>
      </c>
      <c r="F580" s="90" t="b">
        <v>0</v>
      </c>
      <c r="G580" s="90" t="b">
        <v>0</v>
      </c>
    </row>
    <row r="581" spans="1:7" ht="15">
      <c r="A581" s="87" t="s">
        <v>1496</v>
      </c>
      <c r="B581" s="90">
        <v>2</v>
      </c>
      <c r="C581" s="114">
        <v>0.01677059610054107</v>
      </c>
      <c r="D581" s="90" t="s">
        <v>1383</v>
      </c>
      <c r="E581" s="90" t="b">
        <v>0</v>
      </c>
      <c r="F581" s="90" t="b">
        <v>0</v>
      </c>
      <c r="G581" s="90" t="b">
        <v>0</v>
      </c>
    </row>
    <row r="582" spans="1:7" ht="15">
      <c r="A582" s="87" t="s">
        <v>310</v>
      </c>
      <c r="B582" s="90">
        <v>5</v>
      </c>
      <c r="C582" s="114">
        <v>0</v>
      </c>
      <c r="D582" s="90" t="s">
        <v>1384</v>
      </c>
      <c r="E582" s="90" t="b">
        <v>0</v>
      </c>
      <c r="F582" s="90" t="b">
        <v>0</v>
      </c>
      <c r="G582" s="90" t="b">
        <v>0</v>
      </c>
    </row>
    <row r="583" spans="1:7" ht="15">
      <c r="A583" s="87" t="s">
        <v>1495</v>
      </c>
      <c r="B583" s="90">
        <v>5</v>
      </c>
      <c r="C583" s="114">
        <v>0</v>
      </c>
      <c r="D583" s="90" t="s">
        <v>1384</v>
      </c>
      <c r="E583" s="90" t="b">
        <v>0</v>
      </c>
      <c r="F583" s="90" t="b">
        <v>0</v>
      </c>
      <c r="G583" s="90" t="b">
        <v>0</v>
      </c>
    </row>
    <row r="584" spans="1:7" ht="15">
      <c r="A584" s="87" t="s">
        <v>1496</v>
      </c>
      <c r="B584" s="90">
        <v>5</v>
      </c>
      <c r="C584" s="114">
        <v>0</v>
      </c>
      <c r="D584" s="90" t="s">
        <v>1384</v>
      </c>
      <c r="E584" s="90" t="b">
        <v>0</v>
      </c>
      <c r="F584" s="90" t="b">
        <v>0</v>
      </c>
      <c r="G584" s="90" t="b">
        <v>0</v>
      </c>
    </row>
    <row r="585" spans="1:7" ht="15">
      <c r="A585" s="87" t="s">
        <v>1505</v>
      </c>
      <c r="B585" s="90">
        <v>2</v>
      </c>
      <c r="C585" s="114">
        <v>0.010336104121351627</v>
      </c>
      <c r="D585" s="90" t="s">
        <v>1384</v>
      </c>
      <c r="E585" s="90" t="b">
        <v>0</v>
      </c>
      <c r="F585" s="90" t="b">
        <v>0</v>
      </c>
      <c r="G585" s="90" t="b">
        <v>0</v>
      </c>
    </row>
    <row r="586" spans="1:7" ht="15">
      <c r="A586" s="87" t="s">
        <v>1527</v>
      </c>
      <c r="B586" s="90">
        <v>2</v>
      </c>
      <c r="C586" s="114">
        <v>0.010336104121351627</v>
      </c>
      <c r="D586" s="90" t="s">
        <v>1384</v>
      </c>
      <c r="E586" s="90" t="b">
        <v>0</v>
      </c>
      <c r="F586" s="90" t="b">
        <v>0</v>
      </c>
      <c r="G586" s="90" t="b">
        <v>0</v>
      </c>
    </row>
    <row r="587" spans="1:7" ht="15">
      <c r="A587" s="87" t="s">
        <v>539</v>
      </c>
      <c r="B587" s="90">
        <v>3</v>
      </c>
      <c r="C587" s="114">
        <v>0</v>
      </c>
      <c r="D587" s="90" t="s">
        <v>1385</v>
      </c>
      <c r="E587" s="90" t="b">
        <v>0</v>
      </c>
      <c r="F587" s="90" t="b">
        <v>0</v>
      </c>
      <c r="G587" s="90" t="b">
        <v>0</v>
      </c>
    </row>
    <row r="588" spans="1:7" ht="15">
      <c r="A588" s="87" t="s">
        <v>1529</v>
      </c>
      <c r="B588" s="90">
        <v>3</v>
      </c>
      <c r="C588" s="114">
        <v>0</v>
      </c>
      <c r="D588" s="90" t="s">
        <v>1385</v>
      </c>
      <c r="E588" s="90" t="b">
        <v>0</v>
      </c>
      <c r="F588" s="90" t="b">
        <v>0</v>
      </c>
      <c r="G588" s="90" t="b">
        <v>0</v>
      </c>
    </row>
    <row r="589" spans="1:7" ht="15">
      <c r="A589" s="87" t="s">
        <v>1530</v>
      </c>
      <c r="B589" s="90">
        <v>3</v>
      </c>
      <c r="C589" s="114">
        <v>0</v>
      </c>
      <c r="D589" s="90" t="s">
        <v>1385</v>
      </c>
      <c r="E589" s="90" t="b">
        <v>0</v>
      </c>
      <c r="F589" s="90" t="b">
        <v>0</v>
      </c>
      <c r="G589" s="90" t="b">
        <v>0</v>
      </c>
    </row>
    <row r="590" spans="1:7" ht="15">
      <c r="A590" s="87" t="s">
        <v>1531</v>
      </c>
      <c r="B590" s="90">
        <v>3</v>
      </c>
      <c r="C590" s="114">
        <v>0</v>
      </c>
      <c r="D590" s="90" t="s">
        <v>1385</v>
      </c>
      <c r="E590" s="90" t="b">
        <v>0</v>
      </c>
      <c r="F590" s="90" t="b">
        <v>0</v>
      </c>
      <c r="G590" s="90" t="b">
        <v>0</v>
      </c>
    </row>
    <row r="591" spans="1:7" ht="15">
      <c r="A591" s="87" t="s">
        <v>1495</v>
      </c>
      <c r="B591" s="90">
        <v>3</v>
      </c>
      <c r="C591" s="114">
        <v>0</v>
      </c>
      <c r="D591" s="90" t="s">
        <v>1385</v>
      </c>
      <c r="E591" s="90" t="b">
        <v>0</v>
      </c>
      <c r="F591" s="90" t="b">
        <v>0</v>
      </c>
      <c r="G591" s="90" t="b">
        <v>0</v>
      </c>
    </row>
    <row r="592" spans="1:7" ht="15">
      <c r="A592" s="87" t="s">
        <v>1496</v>
      </c>
      <c r="B592" s="90">
        <v>3</v>
      </c>
      <c r="C592" s="114">
        <v>0</v>
      </c>
      <c r="D592" s="90" t="s">
        <v>1385</v>
      </c>
      <c r="E592" s="90" t="b">
        <v>0</v>
      </c>
      <c r="F592" s="90" t="b">
        <v>0</v>
      </c>
      <c r="G592" s="90" t="b">
        <v>0</v>
      </c>
    </row>
    <row r="593" spans="1:7" ht="15">
      <c r="A593" s="87" t="s">
        <v>1532</v>
      </c>
      <c r="B593" s="90">
        <v>3</v>
      </c>
      <c r="C593" s="114">
        <v>0</v>
      </c>
      <c r="D593" s="90" t="s">
        <v>1385</v>
      </c>
      <c r="E593" s="90" t="b">
        <v>0</v>
      </c>
      <c r="F593" s="90" t="b">
        <v>0</v>
      </c>
      <c r="G593" s="90" t="b">
        <v>0</v>
      </c>
    </row>
    <row r="594" spans="1:7" ht="15">
      <c r="A594" s="87" t="s">
        <v>1533</v>
      </c>
      <c r="B594" s="90">
        <v>3</v>
      </c>
      <c r="C594" s="114">
        <v>0</v>
      </c>
      <c r="D594" s="90" t="s">
        <v>1385</v>
      </c>
      <c r="E594" s="90" t="b">
        <v>0</v>
      </c>
      <c r="F594" s="90" t="b">
        <v>0</v>
      </c>
      <c r="G594" s="90" t="b">
        <v>0</v>
      </c>
    </row>
    <row r="595" spans="1:7" ht="15">
      <c r="A595" s="87" t="s">
        <v>1534</v>
      </c>
      <c r="B595" s="90">
        <v>3</v>
      </c>
      <c r="C595" s="114">
        <v>0</v>
      </c>
      <c r="D595" s="90" t="s">
        <v>1385</v>
      </c>
      <c r="E595" s="90" t="b">
        <v>1</v>
      </c>
      <c r="F595" s="90" t="b">
        <v>0</v>
      </c>
      <c r="G595" s="90" t="b">
        <v>0</v>
      </c>
    </row>
    <row r="596" spans="1:7" ht="15">
      <c r="A596" s="87" t="s">
        <v>1535</v>
      </c>
      <c r="B596" s="90">
        <v>3</v>
      </c>
      <c r="C596" s="114">
        <v>0</v>
      </c>
      <c r="D596" s="90" t="s">
        <v>1385</v>
      </c>
      <c r="E596" s="90" t="b">
        <v>0</v>
      </c>
      <c r="F596" s="90" t="b">
        <v>1</v>
      </c>
      <c r="G596" s="90" t="b">
        <v>0</v>
      </c>
    </row>
    <row r="597" spans="1:7" ht="15">
      <c r="A597" s="87" t="s">
        <v>1880</v>
      </c>
      <c r="B597" s="90">
        <v>3</v>
      </c>
      <c r="C597" s="114">
        <v>0</v>
      </c>
      <c r="D597" s="90" t="s">
        <v>1385</v>
      </c>
      <c r="E597" s="90" t="b">
        <v>0</v>
      </c>
      <c r="F597" s="90" t="b">
        <v>0</v>
      </c>
      <c r="G597" s="90" t="b">
        <v>0</v>
      </c>
    </row>
    <row r="598" spans="1:7" ht="15">
      <c r="A598" s="87" t="s">
        <v>1913</v>
      </c>
      <c r="B598" s="90">
        <v>3</v>
      </c>
      <c r="C598" s="114">
        <v>0</v>
      </c>
      <c r="D598" s="90" t="s">
        <v>1385</v>
      </c>
      <c r="E598" s="90" t="b">
        <v>0</v>
      </c>
      <c r="F598" s="90" t="b">
        <v>0</v>
      </c>
      <c r="G598" s="90" t="b">
        <v>0</v>
      </c>
    </row>
    <row r="599" spans="1:7" ht="15">
      <c r="A599" s="87" t="s">
        <v>1914</v>
      </c>
      <c r="B599" s="90">
        <v>3</v>
      </c>
      <c r="C599" s="114">
        <v>0</v>
      </c>
      <c r="D599" s="90" t="s">
        <v>1385</v>
      </c>
      <c r="E599" s="90" t="b">
        <v>0</v>
      </c>
      <c r="F599" s="90" t="b">
        <v>0</v>
      </c>
      <c r="G599" s="90" t="b">
        <v>0</v>
      </c>
    </row>
    <row r="600" spans="1:7" ht="15">
      <c r="A600" s="87" t="s">
        <v>1915</v>
      </c>
      <c r="B600" s="90">
        <v>3</v>
      </c>
      <c r="C600" s="114">
        <v>0</v>
      </c>
      <c r="D600" s="90" t="s">
        <v>1385</v>
      </c>
      <c r="E600" s="90" t="b">
        <v>1</v>
      </c>
      <c r="F600" s="90" t="b">
        <v>0</v>
      </c>
      <c r="G600" s="90" t="b">
        <v>0</v>
      </c>
    </row>
    <row r="601" spans="1:7" ht="15">
      <c r="A601" s="87" t="s">
        <v>1916</v>
      </c>
      <c r="B601" s="90">
        <v>3</v>
      </c>
      <c r="C601" s="114">
        <v>0</v>
      </c>
      <c r="D601" s="90" t="s">
        <v>1385</v>
      </c>
      <c r="E601" s="90" t="b">
        <v>0</v>
      </c>
      <c r="F601" s="90" t="b">
        <v>0</v>
      </c>
      <c r="G601" s="90" t="b">
        <v>0</v>
      </c>
    </row>
    <row r="602" spans="1:7" ht="15">
      <c r="A602" s="87" t="s">
        <v>1917</v>
      </c>
      <c r="B602" s="90">
        <v>3</v>
      </c>
      <c r="C602" s="114">
        <v>0</v>
      </c>
      <c r="D602" s="90" t="s">
        <v>1385</v>
      </c>
      <c r="E602" s="90" t="b">
        <v>0</v>
      </c>
      <c r="F602" s="90" t="b">
        <v>0</v>
      </c>
      <c r="G602" s="90" t="b">
        <v>0</v>
      </c>
    </row>
    <row r="603" spans="1:7" ht="15">
      <c r="A603" s="87" t="s">
        <v>1918</v>
      </c>
      <c r="B603" s="90">
        <v>3</v>
      </c>
      <c r="C603" s="114">
        <v>0</v>
      </c>
      <c r="D603" s="90" t="s">
        <v>1385</v>
      </c>
      <c r="E603" s="90" t="b">
        <v>0</v>
      </c>
      <c r="F603" s="90" t="b">
        <v>0</v>
      </c>
      <c r="G603" s="90" t="b">
        <v>0</v>
      </c>
    </row>
    <row r="604" spans="1:7" ht="15">
      <c r="A604" s="87" t="s">
        <v>1537</v>
      </c>
      <c r="B604" s="90">
        <v>2</v>
      </c>
      <c r="C604" s="114">
        <v>0</v>
      </c>
      <c r="D604" s="90" t="s">
        <v>1386</v>
      </c>
      <c r="E604" s="90" t="b">
        <v>0</v>
      </c>
      <c r="F604" s="90" t="b">
        <v>0</v>
      </c>
      <c r="G604" s="90" t="b">
        <v>0</v>
      </c>
    </row>
    <row r="605" spans="1:7" ht="15">
      <c r="A605" s="87" t="s">
        <v>1538</v>
      </c>
      <c r="B605" s="90">
        <v>2</v>
      </c>
      <c r="C605" s="114">
        <v>0</v>
      </c>
      <c r="D605" s="90" t="s">
        <v>1386</v>
      </c>
      <c r="E605" s="90" t="b">
        <v>1</v>
      </c>
      <c r="F605" s="90" t="b">
        <v>0</v>
      </c>
      <c r="G605" s="90" t="b">
        <v>0</v>
      </c>
    </row>
    <row r="606" spans="1:7" ht="15">
      <c r="A606" s="87" t="s">
        <v>1539</v>
      </c>
      <c r="B606" s="90">
        <v>2</v>
      </c>
      <c r="C606" s="114">
        <v>0</v>
      </c>
      <c r="D606" s="90" t="s">
        <v>1386</v>
      </c>
      <c r="E606" s="90" t="b">
        <v>0</v>
      </c>
      <c r="F606" s="90" t="b">
        <v>0</v>
      </c>
      <c r="G606" s="90" t="b">
        <v>0</v>
      </c>
    </row>
    <row r="607" spans="1:7" ht="15">
      <c r="A607" s="87" t="s">
        <v>1540</v>
      </c>
      <c r="B607" s="90">
        <v>2</v>
      </c>
      <c r="C607" s="114">
        <v>0</v>
      </c>
      <c r="D607" s="90" t="s">
        <v>1386</v>
      </c>
      <c r="E607" s="90" t="b">
        <v>0</v>
      </c>
      <c r="F607" s="90" t="b">
        <v>0</v>
      </c>
      <c r="G607" s="90" t="b">
        <v>0</v>
      </c>
    </row>
    <row r="608" spans="1:7" ht="15">
      <c r="A608" s="87" t="s">
        <v>1541</v>
      </c>
      <c r="B608" s="90">
        <v>2</v>
      </c>
      <c r="C608" s="114">
        <v>0</v>
      </c>
      <c r="D608" s="90" t="s">
        <v>1386</v>
      </c>
      <c r="E608" s="90" t="b">
        <v>0</v>
      </c>
      <c r="F608" s="90" t="b">
        <v>0</v>
      </c>
      <c r="G608" s="90" t="b">
        <v>0</v>
      </c>
    </row>
    <row r="609" spans="1:7" ht="15">
      <c r="A609" s="87" t="s">
        <v>1542</v>
      </c>
      <c r="B609" s="90">
        <v>2</v>
      </c>
      <c r="C609" s="114">
        <v>0</v>
      </c>
      <c r="D609" s="90" t="s">
        <v>1386</v>
      </c>
      <c r="E609" s="90" t="b">
        <v>0</v>
      </c>
      <c r="F609" s="90" t="b">
        <v>0</v>
      </c>
      <c r="G609" s="90" t="b">
        <v>0</v>
      </c>
    </row>
    <row r="610" spans="1:7" ht="15">
      <c r="A610" s="87" t="s">
        <v>1543</v>
      </c>
      <c r="B610" s="90">
        <v>2</v>
      </c>
      <c r="C610" s="114">
        <v>0</v>
      </c>
      <c r="D610" s="90" t="s">
        <v>1386</v>
      </c>
      <c r="E610" s="90" t="b">
        <v>0</v>
      </c>
      <c r="F610" s="90" t="b">
        <v>1</v>
      </c>
      <c r="G610" s="90" t="b">
        <v>0</v>
      </c>
    </row>
    <row r="611" spans="1:7" ht="15">
      <c r="A611" s="87" t="s">
        <v>1544</v>
      </c>
      <c r="B611" s="90">
        <v>2</v>
      </c>
      <c r="C611" s="114">
        <v>0</v>
      </c>
      <c r="D611" s="90" t="s">
        <v>1386</v>
      </c>
      <c r="E611" s="90" t="b">
        <v>0</v>
      </c>
      <c r="F611" s="90" t="b">
        <v>0</v>
      </c>
      <c r="G611" s="90" t="b">
        <v>0</v>
      </c>
    </row>
    <row r="612" spans="1:7" ht="15">
      <c r="A612" s="87" t="s">
        <v>1545</v>
      </c>
      <c r="B612" s="90">
        <v>2</v>
      </c>
      <c r="C612" s="114">
        <v>0</v>
      </c>
      <c r="D612" s="90" t="s">
        <v>1386</v>
      </c>
      <c r="E612" s="90" t="b">
        <v>0</v>
      </c>
      <c r="F612" s="90" t="b">
        <v>0</v>
      </c>
      <c r="G612" s="90" t="b">
        <v>0</v>
      </c>
    </row>
    <row r="613" spans="1:7" ht="15">
      <c r="A613" s="87" t="s">
        <v>1495</v>
      </c>
      <c r="B613" s="90">
        <v>2</v>
      </c>
      <c r="C613" s="114">
        <v>0</v>
      </c>
      <c r="D613" s="90" t="s">
        <v>1386</v>
      </c>
      <c r="E613" s="90" t="b">
        <v>0</v>
      </c>
      <c r="F613" s="90" t="b">
        <v>0</v>
      </c>
      <c r="G613" s="90" t="b">
        <v>0</v>
      </c>
    </row>
    <row r="614" spans="1:7" ht="15">
      <c r="A614" s="87" t="s">
        <v>1496</v>
      </c>
      <c r="B614" s="90">
        <v>2</v>
      </c>
      <c r="C614" s="114">
        <v>0</v>
      </c>
      <c r="D614" s="90" t="s">
        <v>1386</v>
      </c>
      <c r="E614" s="90" t="b">
        <v>0</v>
      </c>
      <c r="F614" s="90" t="b">
        <v>0</v>
      </c>
      <c r="G614" s="90" t="b">
        <v>0</v>
      </c>
    </row>
    <row r="615" spans="1:7" ht="15">
      <c r="A615" s="87" t="s">
        <v>1519</v>
      </c>
      <c r="B615" s="90">
        <v>2</v>
      </c>
      <c r="C615" s="114">
        <v>0</v>
      </c>
      <c r="D615" s="90" t="s">
        <v>1386</v>
      </c>
      <c r="E615" s="90" t="b">
        <v>0</v>
      </c>
      <c r="F615" s="90" t="b">
        <v>0</v>
      </c>
      <c r="G615" s="90" t="b">
        <v>0</v>
      </c>
    </row>
    <row r="616" spans="1:7" ht="15">
      <c r="A616" s="87" t="s">
        <v>307</v>
      </c>
      <c r="B616" s="90">
        <v>2</v>
      </c>
      <c r="C616" s="114">
        <v>0</v>
      </c>
      <c r="D616" s="90" t="s">
        <v>1386</v>
      </c>
      <c r="E616" s="90" t="b">
        <v>0</v>
      </c>
      <c r="F616" s="90" t="b">
        <v>0</v>
      </c>
      <c r="G616" s="90" t="b">
        <v>0</v>
      </c>
    </row>
    <row r="617" spans="1:7" ht="15">
      <c r="A617" s="87" t="s">
        <v>1865</v>
      </c>
      <c r="B617" s="90">
        <v>2</v>
      </c>
      <c r="C617" s="114">
        <v>0</v>
      </c>
      <c r="D617" s="90" t="s">
        <v>1387</v>
      </c>
      <c r="E617" s="90" t="b">
        <v>0</v>
      </c>
      <c r="F617" s="90" t="b">
        <v>0</v>
      </c>
      <c r="G617" s="90" t="b">
        <v>0</v>
      </c>
    </row>
    <row r="618" spans="1:7" ht="15">
      <c r="A618" s="87" t="s">
        <v>2008</v>
      </c>
      <c r="B618" s="90">
        <v>2</v>
      </c>
      <c r="C618" s="114">
        <v>0</v>
      </c>
      <c r="D618" s="90" t="s">
        <v>1387</v>
      </c>
      <c r="E618" s="90" t="b">
        <v>0</v>
      </c>
      <c r="F618" s="90" t="b">
        <v>0</v>
      </c>
      <c r="G618" s="90" t="b">
        <v>0</v>
      </c>
    </row>
    <row r="619" spans="1:7" ht="15">
      <c r="A619" s="87" t="s">
        <v>2009</v>
      </c>
      <c r="B619" s="90">
        <v>2</v>
      </c>
      <c r="C619" s="114">
        <v>0</v>
      </c>
      <c r="D619" s="90" t="s">
        <v>1387</v>
      </c>
      <c r="E619" s="90" t="b">
        <v>1</v>
      </c>
      <c r="F619" s="90" t="b">
        <v>0</v>
      </c>
      <c r="G619" s="90" t="b">
        <v>0</v>
      </c>
    </row>
    <row r="620" spans="1:7" ht="15">
      <c r="A620" s="87" t="s">
        <v>2010</v>
      </c>
      <c r="B620" s="90">
        <v>2</v>
      </c>
      <c r="C620" s="114">
        <v>0</v>
      </c>
      <c r="D620" s="90" t="s">
        <v>1387</v>
      </c>
      <c r="E620" s="90" t="b">
        <v>0</v>
      </c>
      <c r="F620" s="90" t="b">
        <v>0</v>
      </c>
      <c r="G620" s="90" t="b">
        <v>0</v>
      </c>
    </row>
    <row r="621" spans="1:7" ht="15">
      <c r="A621" s="87" t="s">
        <v>1495</v>
      </c>
      <c r="B621" s="90">
        <v>2</v>
      </c>
      <c r="C621" s="114">
        <v>0</v>
      </c>
      <c r="D621" s="90" t="s">
        <v>1387</v>
      </c>
      <c r="E621" s="90" t="b">
        <v>0</v>
      </c>
      <c r="F621" s="90" t="b">
        <v>0</v>
      </c>
      <c r="G621" s="90" t="b">
        <v>0</v>
      </c>
    </row>
    <row r="622" spans="1:7" ht="15">
      <c r="A622" s="87" t="s">
        <v>1496</v>
      </c>
      <c r="B622" s="90">
        <v>2</v>
      </c>
      <c r="C622" s="114">
        <v>0</v>
      </c>
      <c r="D622" s="90" t="s">
        <v>1387</v>
      </c>
      <c r="E622" s="90" t="b">
        <v>0</v>
      </c>
      <c r="F622" s="90" t="b">
        <v>0</v>
      </c>
      <c r="G622" s="90" t="b">
        <v>0</v>
      </c>
    </row>
    <row r="623" spans="1:7" ht="15">
      <c r="A623" s="87" t="s">
        <v>2011</v>
      </c>
      <c r="B623" s="90">
        <v>2</v>
      </c>
      <c r="C623" s="114">
        <v>0</v>
      </c>
      <c r="D623" s="90" t="s">
        <v>1387</v>
      </c>
      <c r="E623" s="90" t="b">
        <v>0</v>
      </c>
      <c r="F623" s="90" t="b">
        <v>0</v>
      </c>
      <c r="G623" s="90" t="b">
        <v>0</v>
      </c>
    </row>
    <row r="624" spans="1:7" ht="15">
      <c r="A624" s="87" t="s">
        <v>2012</v>
      </c>
      <c r="B624" s="90">
        <v>2</v>
      </c>
      <c r="C624" s="114">
        <v>0</v>
      </c>
      <c r="D624" s="90" t="s">
        <v>1387</v>
      </c>
      <c r="E624" s="90" t="b">
        <v>0</v>
      </c>
      <c r="F624" s="90" t="b">
        <v>0</v>
      </c>
      <c r="G624" s="90" t="b">
        <v>0</v>
      </c>
    </row>
    <row r="625" spans="1:7" ht="15">
      <c r="A625" s="87" t="s">
        <v>1557</v>
      </c>
      <c r="B625" s="90">
        <v>2</v>
      </c>
      <c r="C625" s="114">
        <v>0</v>
      </c>
      <c r="D625" s="90" t="s">
        <v>1389</v>
      </c>
      <c r="E625" s="90" t="b">
        <v>0</v>
      </c>
      <c r="F625" s="90" t="b">
        <v>0</v>
      </c>
      <c r="G625" s="90" t="b">
        <v>0</v>
      </c>
    </row>
    <row r="626" spans="1:7" ht="15">
      <c r="A626" s="87" t="s">
        <v>2022</v>
      </c>
      <c r="B626" s="90">
        <v>2</v>
      </c>
      <c r="C626" s="114">
        <v>0</v>
      </c>
      <c r="D626" s="90" t="s">
        <v>1392</v>
      </c>
      <c r="E626" s="90" t="b">
        <v>0</v>
      </c>
      <c r="F626" s="90" t="b">
        <v>0</v>
      </c>
      <c r="G626" s="90" t="b">
        <v>0</v>
      </c>
    </row>
    <row r="627" spans="1:7" ht="15">
      <c r="A627" s="87" t="s">
        <v>539</v>
      </c>
      <c r="B627" s="90">
        <v>2</v>
      </c>
      <c r="C627" s="114">
        <v>0</v>
      </c>
      <c r="D627" s="90" t="s">
        <v>1392</v>
      </c>
      <c r="E627" s="90" t="b">
        <v>0</v>
      </c>
      <c r="F627" s="90" t="b">
        <v>0</v>
      </c>
      <c r="G627" s="90" t="b">
        <v>0</v>
      </c>
    </row>
    <row r="628" spans="1:7" ht="15">
      <c r="A628" s="87" t="s">
        <v>2023</v>
      </c>
      <c r="B628" s="90">
        <v>2</v>
      </c>
      <c r="C628" s="114">
        <v>0</v>
      </c>
      <c r="D628" s="90" t="s">
        <v>1392</v>
      </c>
      <c r="E628" s="90" t="b">
        <v>0</v>
      </c>
      <c r="F628" s="90" t="b">
        <v>1</v>
      </c>
      <c r="G628" s="90" t="b">
        <v>0</v>
      </c>
    </row>
    <row r="629" spans="1:7" ht="15">
      <c r="A629" s="87" t="s">
        <v>1811</v>
      </c>
      <c r="B629" s="90">
        <v>2</v>
      </c>
      <c r="C629" s="114">
        <v>0</v>
      </c>
      <c r="D629" s="90" t="s">
        <v>1392</v>
      </c>
      <c r="E629" s="90" t="b">
        <v>0</v>
      </c>
      <c r="F629" s="90" t="b">
        <v>0</v>
      </c>
      <c r="G629" s="90" t="b">
        <v>0</v>
      </c>
    </row>
    <row r="630" spans="1:7" ht="15">
      <c r="A630" s="87" t="s">
        <v>1495</v>
      </c>
      <c r="B630" s="90">
        <v>2</v>
      </c>
      <c r="C630" s="114">
        <v>0</v>
      </c>
      <c r="D630" s="90" t="s">
        <v>1392</v>
      </c>
      <c r="E630" s="90" t="b">
        <v>0</v>
      </c>
      <c r="F630" s="90" t="b">
        <v>0</v>
      </c>
      <c r="G630" s="90" t="b">
        <v>0</v>
      </c>
    </row>
    <row r="631" spans="1:7" ht="15">
      <c r="A631" s="87" t="s">
        <v>2024</v>
      </c>
      <c r="B631" s="90">
        <v>2</v>
      </c>
      <c r="C631" s="114">
        <v>0</v>
      </c>
      <c r="D631" s="90" t="s">
        <v>1392</v>
      </c>
      <c r="E631" s="90" t="b">
        <v>0</v>
      </c>
      <c r="F631" s="90" t="b">
        <v>0</v>
      </c>
      <c r="G631" s="90" t="b">
        <v>0</v>
      </c>
    </row>
    <row r="632" spans="1:7" ht="15">
      <c r="A632" s="87" t="s">
        <v>2025</v>
      </c>
      <c r="B632" s="90">
        <v>2</v>
      </c>
      <c r="C632" s="114">
        <v>0</v>
      </c>
      <c r="D632" s="90" t="s">
        <v>1392</v>
      </c>
      <c r="E632" s="90" t="b">
        <v>0</v>
      </c>
      <c r="F632" s="90" t="b">
        <v>0</v>
      </c>
      <c r="G632" s="90" t="b">
        <v>0</v>
      </c>
    </row>
    <row r="633" spans="1:7" ht="15">
      <c r="A633" s="87" t="s">
        <v>2026</v>
      </c>
      <c r="B633" s="90">
        <v>2</v>
      </c>
      <c r="C633" s="114">
        <v>0</v>
      </c>
      <c r="D633" s="90" t="s">
        <v>1392</v>
      </c>
      <c r="E633" s="90" t="b">
        <v>0</v>
      </c>
      <c r="F633" s="90" t="b">
        <v>0</v>
      </c>
      <c r="G633" s="90" t="b">
        <v>0</v>
      </c>
    </row>
    <row r="634" spans="1:7" ht="15">
      <c r="A634" s="87" t="s">
        <v>2027</v>
      </c>
      <c r="B634" s="90">
        <v>2</v>
      </c>
      <c r="C634" s="114">
        <v>0</v>
      </c>
      <c r="D634" s="90" t="s">
        <v>1392</v>
      </c>
      <c r="E634" s="90" t="b">
        <v>0</v>
      </c>
      <c r="F634" s="90" t="b">
        <v>0</v>
      </c>
      <c r="G634" s="90" t="b">
        <v>0</v>
      </c>
    </row>
    <row r="635" spans="1:7" ht="15">
      <c r="A635" s="87" t="s">
        <v>2028</v>
      </c>
      <c r="B635" s="90">
        <v>2</v>
      </c>
      <c r="C635" s="114">
        <v>0</v>
      </c>
      <c r="D635" s="90" t="s">
        <v>1392</v>
      </c>
      <c r="E635" s="90" t="b">
        <v>0</v>
      </c>
      <c r="F635" s="90" t="b">
        <v>0</v>
      </c>
      <c r="G635" s="90" t="b">
        <v>0</v>
      </c>
    </row>
    <row r="636" spans="1:7" ht="15">
      <c r="A636" s="87" t="s">
        <v>2029</v>
      </c>
      <c r="B636" s="90">
        <v>2</v>
      </c>
      <c r="C636" s="114">
        <v>0</v>
      </c>
      <c r="D636" s="90" t="s">
        <v>1392</v>
      </c>
      <c r="E636" s="90" t="b">
        <v>0</v>
      </c>
      <c r="F636" s="90" t="b">
        <v>0</v>
      </c>
      <c r="G636" s="90" t="b">
        <v>0</v>
      </c>
    </row>
    <row r="637" spans="1:7" ht="15">
      <c r="A637" s="87" t="s">
        <v>2030</v>
      </c>
      <c r="B637" s="90">
        <v>2</v>
      </c>
      <c r="C637" s="114">
        <v>0</v>
      </c>
      <c r="D637" s="90" t="s">
        <v>1392</v>
      </c>
      <c r="E637" s="90" t="b">
        <v>0</v>
      </c>
      <c r="F637" s="90" t="b">
        <v>0</v>
      </c>
      <c r="G637" s="90" t="b">
        <v>0</v>
      </c>
    </row>
    <row r="638" spans="1:7" ht="15">
      <c r="A638" s="87" t="s">
        <v>2031</v>
      </c>
      <c r="B638" s="90">
        <v>2</v>
      </c>
      <c r="C638" s="114">
        <v>0</v>
      </c>
      <c r="D638" s="90" t="s">
        <v>1392</v>
      </c>
      <c r="E638" s="90" t="b">
        <v>0</v>
      </c>
      <c r="F638" s="90" t="b">
        <v>0</v>
      </c>
      <c r="G638" s="90" t="b">
        <v>0</v>
      </c>
    </row>
    <row r="639" spans="1:7" ht="15">
      <c r="A639" s="87" t="s">
        <v>2032</v>
      </c>
      <c r="B639" s="90">
        <v>2</v>
      </c>
      <c r="C639" s="114">
        <v>0</v>
      </c>
      <c r="D639" s="90" t="s">
        <v>1392</v>
      </c>
      <c r="E639" s="90" t="b">
        <v>0</v>
      </c>
      <c r="F639" s="90" t="b">
        <v>0</v>
      </c>
      <c r="G639" s="90" t="b">
        <v>0</v>
      </c>
    </row>
    <row r="640" spans="1:7" ht="15">
      <c r="A640" s="87" t="s">
        <v>2033</v>
      </c>
      <c r="B640" s="90">
        <v>2</v>
      </c>
      <c r="C640" s="114">
        <v>0</v>
      </c>
      <c r="D640" s="90" t="s">
        <v>1392</v>
      </c>
      <c r="E640" s="90" t="b">
        <v>0</v>
      </c>
      <c r="F640" s="90" t="b">
        <v>0</v>
      </c>
      <c r="G640" s="90" t="b">
        <v>0</v>
      </c>
    </row>
    <row r="641" spans="1:7" ht="15">
      <c r="A641" s="87" t="s">
        <v>2034</v>
      </c>
      <c r="B641" s="90">
        <v>2</v>
      </c>
      <c r="C641" s="114">
        <v>0</v>
      </c>
      <c r="D641" s="90" t="s">
        <v>1392</v>
      </c>
      <c r="E641" s="90" t="b">
        <v>0</v>
      </c>
      <c r="F641" s="90" t="b">
        <v>0</v>
      </c>
      <c r="G641" s="90" t="b">
        <v>0</v>
      </c>
    </row>
    <row r="642" spans="1:7" ht="15">
      <c r="A642" s="87" t="s">
        <v>2035</v>
      </c>
      <c r="B642" s="90">
        <v>2</v>
      </c>
      <c r="C642" s="114">
        <v>0</v>
      </c>
      <c r="D642" s="90" t="s">
        <v>1392</v>
      </c>
      <c r="E642" s="90" t="b">
        <v>0</v>
      </c>
      <c r="F642" s="90" t="b">
        <v>0</v>
      </c>
      <c r="G642" s="90" t="b">
        <v>0</v>
      </c>
    </row>
    <row r="643" spans="1:7" ht="15">
      <c r="A643" s="87" t="s">
        <v>1865</v>
      </c>
      <c r="B643" s="90">
        <v>2</v>
      </c>
      <c r="C643" s="114">
        <v>0</v>
      </c>
      <c r="D643" s="90" t="s">
        <v>1394</v>
      </c>
      <c r="E643" s="90" t="b">
        <v>0</v>
      </c>
      <c r="F643" s="90" t="b">
        <v>0</v>
      </c>
      <c r="G643" s="90" t="b">
        <v>0</v>
      </c>
    </row>
    <row r="644" spans="1:7" ht="15">
      <c r="A644" s="87" t="s">
        <v>1495</v>
      </c>
      <c r="B644" s="90">
        <v>2</v>
      </c>
      <c r="C644" s="114">
        <v>0</v>
      </c>
      <c r="D644" s="90" t="s">
        <v>1394</v>
      </c>
      <c r="E644" s="90" t="b">
        <v>0</v>
      </c>
      <c r="F644" s="90" t="b">
        <v>0</v>
      </c>
      <c r="G644" s="90" t="b">
        <v>0</v>
      </c>
    </row>
    <row r="645" spans="1:7" ht="15">
      <c r="A645" s="87" t="s">
        <v>1496</v>
      </c>
      <c r="B645" s="90">
        <v>2</v>
      </c>
      <c r="C645" s="114">
        <v>0</v>
      </c>
      <c r="D645" s="90" t="s">
        <v>1394</v>
      </c>
      <c r="E645" s="90" t="b">
        <v>0</v>
      </c>
      <c r="F645" s="90" t="b">
        <v>0</v>
      </c>
      <c r="G645" s="90" t="b">
        <v>0</v>
      </c>
    </row>
    <row r="646" spans="1:7" ht="15">
      <c r="A646" s="87" t="s">
        <v>2045</v>
      </c>
      <c r="B646" s="90">
        <v>2</v>
      </c>
      <c r="C646" s="114">
        <v>0</v>
      </c>
      <c r="D646" s="90" t="s">
        <v>1394</v>
      </c>
      <c r="E646" s="90" t="b">
        <v>0</v>
      </c>
      <c r="F646" s="90" t="b">
        <v>0</v>
      </c>
      <c r="G646" s="90" t="b">
        <v>0</v>
      </c>
    </row>
    <row r="647" spans="1:7" ht="15">
      <c r="A647" s="87" t="s">
        <v>2046</v>
      </c>
      <c r="B647" s="90">
        <v>2</v>
      </c>
      <c r="C647" s="114">
        <v>0</v>
      </c>
      <c r="D647" s="90" t="s">
        <v>1395</v>
      </c>
      <c r="E647" s="90" t="b">
        <v>0</v>
      </c>
      <c r="F647" s="90" t="b">
        <v>0</v>
      </c>
      <c r="G647" s="90" t="b">
        <v>0</v>
      </c>
    </row>
    <row r="648" spans="1:7" ht="15">
      <c r="A648" s="87" t="s">
        <v>2047</v>
      </c>
      <c r="B648" s="90">
        <v>2</v>
      </c>
      <c r="C648" s="114">
        <v>0</v>
      </c>
      <c r="D648" s="90" t="s">
        <v>1395</v>
      </c>
      <c r="E648" s="90" t="b">
        <v>0</v>
      </c>
      <c r="F648" s="90" t="b">
        <v>0</v>
      </c>
      <c r="G648" s="90" t="b">
        <v>0</v>
      </c>
    </row>
    <row r="649" spans="1:7" ht="15">
      <c r="A649" s="87" t="s">
        <v>2048</v>
      </c>
      <c r="B649" s="90">
        <v>2</v>
      </c>
      <c r="C649" s="114">
        <v>0</v>
      </c>
      <c r="D649" s="90" t="s">
        <v>1395</v>
      </c>
      <c r="E649" s="90" t="b">
        <v>0</v>
      </c>
      <c r="F649" s="90" t="b">
        <v>0</v>
      </c>
      <c r="G649" s="90" t="b">
        <v>0</v>
      </c>
    </row>
    <row r="650" spans="1:7" ht="15">
      <c r="A650" s="87" t="s">
        <v>1496</v>
      </c>
      <c r="B650" s="90">
        <v>2</v>
      </c>
      <c r="C650" s="114">
        <v>0</v>
      </c>
      <c r="D650" s="90" t="s">
        <v>1395</v>
      </c>
      <c r="E650" s="90" t="b">
        <v>0</v>
      </c>
      <c r="F650" s="90" t="b">
        <v>0</v>
      </c>
      <c r="G650" s="90" t="b">
        <v>0</v>
      </c>
    </row>
    <row r="651" spans="1:7" ht="15">
      <c r="A651" s="87" t="s">
        <v>2049</v>
      </c>
      <c r="B651" s="90">
        <v>2</v>
      </c>
      <c r="C651" s="114">
        <v>0</v>
      </c>
      <c r="D651" s="90" t="s">
        <v>1395</v>
      </c>
      <c r="E651" s="90" t="b">
        <v>0</v>
      </c>
      <c r="F651" s="90" t="b">
        <v>0</v>
      </c>
      <c r="G651" s="90" t="b">
        <v>0</v>
      </c>
    </row>
    <row r="652" spans="1:7" ht="15">
      <c r="A652" s="87" t="s">
        <v>2050</v>
      </c>
      <c r="B652" s="90">
        <v>2</v>
      </c>
      <c r="C652" s="114">
        <v>0</v>
      </c>
      <c r="D652" s="90" t="s">
        <v>1395</v>
      </c>
      <c r="E652" s="90" t="b">
        <v>0</v>
      </c>
      <c r="F652" s="90" t="b">
        <v>0</v>
      </c>
      <c r="G652" s="90" t="b">
        <v>0</v>
      </c>
    </row>
    <row r="653" spans="1:7" ht="15">
      <c r="A653" s="87" t="s">
        <v>2051</v>
      </c>
      <c r="B653" s="90">
        <v>2</v>
      </c>
      <c r="C653" s="114">
        <v>0</v>
      </c>
      <c r="D653" s="90" t="s">
        <v>1395</v>
      </c>
      <c r="E653" s="90" t="b">
        <v>0</v>
      </c>
      <c r="F653" s="90" t="b">
        <v>0</v>
      </c>
      <c r="G653" s="90" t="b">
        <v>0</v>
      </c>
    </row>
    <row r="654" spans="1:7" ht="15">
      <c r="A654" s="87" t="s">
        <v>2052</v>
      </c>
      <c r="B654" s="90">
        <v>2</v>
      </c>
      <c r="C654" s="114">
        <v>0</v>
      </c>
      <c r="D654" s="90" t="s">
        <v>1395</v>
      </c>
      <c r="E654" s="90" t="b">
        <v>0</v>
      </c>
      <c r="F654" s="90" t="b">
        <v>0</v>
      </c>
      <c r="G654" s="90" t="b">
        <v>0</v>
      </c>
    </row>
    <row r="655" spans="1:7" ht="15">
      <c r="A655" s="87" t="s">
        <v>2053</v>
      </c>
      <c r="B655" s="90">
        <v>2</v>
      </c>
      <c r="C655" s="114">
        <v>0</v>
      </c>
      <c r="D655" s="90" t="s">
        <v>1395</v>
      </c>
      <c r="E655" s="90" t="b">
        <v>0</v>
      </c>
      <c r="F655" s="90" t="b">
        <v>0</v>
      </c>
      <c r="G655" s="90" t="b">
        <v>0</v>
      </c>
    </row>
    <row r="656" spans="1:7" ht="15">
      <c r="A656" s="87" t="s">
        <v>2054</v>
      </c>
      <c r="B656" s="90">
        <v>2</v>
      </c>
      <c r="C656" s="114">
        <v>0</v>
      </c>
      <c r="D656" s="90" t="s">
        <v>1395</v>
      </c>
      <c r="E656" s="90" t="b">
        <v>0</v>
      </c>
      <c r="F656" s="90" t="b">
        <v>0</v>
      </c>
      <c r="G656" s="90" t="b">
        <v>0</v>
      </c>
    </row>
    <row r="657" spans="1:7" ht="15">
      <c r="A657" s="87" t="s">
        <v>2055</v>
      </c>
      <c r="B657" s="90">
        <v>2</v>
      </c>
      <c r="C657" s="114">
        <v>0</v>
      </c>
      <c r="D657" s="90" t="s">
        <v>1395</v>
      </c>
      <c r="E657" s="90" t="b">
        <v>0</v>
      </c>
      <c r="F657" s="90" t="b">
        <v>0</v>
      </c>
      <c r="G657" s="90" t="b">
        <v>0</v>
      </c>
    </row>
    <row r="658" spans="1:7" ht="15">
      <c r="A658" s="87" t="s">
        <v>2056</v>
      </c>
      <c r="B658" s="90">
        <v>2</v>
      </c>
      <c r="C658" s="114">
        <v>0</v>
      </c>
      <c r="D658" s="90" t="s">
        <v>1395</v>
      </c>
      <c r="E658" s="90" t="b">
        <v>0</v>
      </c>
      <c r="F658" s="90" t="b">
        <v>0</v>
      </c>
      <c r="G658" s="90" t="b">
        <v>0</v>
      </c>
    </row>
    <row r="659" spans="1:7" ht="15">
      <c r="A659" s="87" t="s">
        <v>2057</v>
      </c>
      <c r="B659" s="90">
        <v>2</v>
      </c>
      <c r="C659" s="114">
        <v>0</v>
      </c>
      <c r="D659" s="90" t="s">
        <v>1395</v>
      </c>
      <c r="E659" s="90" t="b">
        <v>0</v>
      </c>
      <c r="F659" s="90" t="b">
        <v>0</v>
      </c>
      <c r="G659" s="90" t="b">
        <v>0</v>
      </c>
    </row>
    <row r="660" spans="1:7" ht="15">
      <c r="A660" s="87" t="s">
        <v>2058</v>
      </c>
      <c r="B660" s="90">
        <v>2</v>
      </c>
      <c r="C660" s="114">
        <v>0</v>
      </c>
      <c r="D660" s="90" t="s">
        <v>1395</v>
      </c>
      <c r="E660" s="90" t="b">
        <v>0</v>
      </c>
      <c r="F660" s="90" t="b">
        <v>0</v>
      </c>
      <c r="G660" s="90" t="b">
        <v>0</v>
      </c>
    </row>
    <row r="661" spans="1:7" ht="15">
      <c r="A661" s="87" t="s">
        <v>2059</v>
      </c>
      <c r="B661" s="90">
        <v>2</v>
      </c>
      <c r="C661" s="114">
        <v>0</v>
      </c>
      <c r="D661" s="90" t="s">
        <v>1395</v>
      </c>
      <c r="E661" s="90" t="b">
        <v>0</v>
      </c>
      <c r="F661" s="90" t="b">
        <v>0</v>
      </c>
      <c r="G661" s="90" t="b">
        <v>0</v>
      </c>
    </row>
    <row r="662" spans="1:7" ht="15">
      <c r="A662" s="87" t="s">
        <v>2060</v>
      </c>
      <c r="B662" s="90">
        <v>2</v>
      </c>
      <c r="C662" s="114">
        <v>0</v>
      </c>
      <c r="D662" s="90" t="s">
        <v>1395</v>
      </c>
      <c r="E662" s="90" t="b">
        <v>0</v>
      </c>
      <c r="F662" s="90" t="b">
        <v>0</v>
      </c>
      <c r="G662" s="90" t="b">
        <v>0</v>
      </c>
    </row>
    <row r="663" spans="1:7" ht="15">
      <c r="A663" s="87" t="s">
        <v>2061</v>
      </c>
      <c r="B663" s="90">
        <v>2</v>
      </c>
      <c r="C663" s="114">
        <v>0</v>
      </c>
      <c r="D663" s="90" t="s">
        <v>1395</v>
      </c>
      <c r="E663" s="90" t="b">
        <v>0</v>
      </c>
      <c r="F663" s="90" t="b">
        <v>0</v>
      </c>
      <c r="G663" s="90" t="b">
        <v>0</v>
      </c>
    </row>
    <row r="664" spans="1:7" ht="15">
      <c r="A664" s="87" t="s">
        <v>1884</v>
      </c>
      <c r="B664" s="90">
        <v>4</v>
      </c>
      <c r="C664" s="114">
        <v>0.009267961002930591</v>
      </c>
      <c r="D664" s="90" t="s">
        <v>1396</v>
      </c>
      <c r="E664" s="90" t="b">
        <v>0</v>
      </c>
      <c r="F664" s="90" t="b">
        <v>0</v>
      </c>
      <c r="G664" s="90" t="b">
        <v>0</v>
      </c>
    </row>
    <row r="665" spans="1:7" ht="15">
      <c r="A665" s="87" t="s">
        <v>1495</v>
      </c>
      <c r="B665" s="90">
        <v>3</v>
      </c>
      <c r="C665" s="114">
        <v>0</v>
      </c>
      <c r="D665" s="90" t="s">
        <v>1396</v>
      </c>
      <c r="E665" s="90" t="b">
        <v>0</v>
      </c>
      <c r="F665" s="90" t="b">
        <v>0</v>
      </c>
      <c r="G665" s="90" t="b">
        <v>0</v>
      </c>
    </row>
    <row r="666" spans="1:7" ht="15">
      <c r="A666" s="87" t="s">
        <v>1496</v>
      </c>
      <c r="B666" s="90">
        <v>3</v>
      </c>
      <c r="C666" s="114">
        <v>0</v>
      </c>
      <c r="D666" s="90" t="s">
        <v>1396</v>
      </c>
      <c r="E666" s="90" t="b">
        <v>0</v>
      </c>
      <c r="F666" s="90" t="b">
        <v>0</v>
      </c>
      <c r="G666" s="90" t="b">
        <v>0</v>
      </c>
    </row>
    <row r="667" spans="1:7" ht="15">
      <c r="A667" s="87" t="s">
        <v>1881</v>
      </c>
      <c r="B667" s="90">
        <v>3</v>
      </c>
      <c r="C667" s="114">
        <v>0</v>
      </c>
      <c r="D667" s="90" t="s">
        <v>1396</v>
      </c>
      <c r="E667" s="90" t="b">
        <v>0</v>
      </c>
      <c r="F667" s="90" t="b">
        <v>0</v>
      </c>
      <c r="G667" s="90" t="b">
        <v>0</v>
      </c>
    </row>
    <row r="668" spans="1:7" ht="15">
      <c r="A668" s="87" t="s">
        <v>1927</v>
      </c>
      <c r="B668" s="90">
        <v>3</v>
      </c>
      <c r="C668" s="114">
        <v>0</v>
      </c>
      <c r="D668" s="90" t="s">
        <v>1396</v>
      </c>
      <c r="E668" s="90" t="b">
        <v>0</v>
      </c>
      <c r="F668" s="90" t="b">
        <v>0</v>
      </c>
      <c r="G668" s="90" t="b">
        <v>0</v>
      </c>
    </row>
    <row r="669" spans="1:7" ht="15">
      <c r="A669" s="87" t="s">
        <v>1928</v>
      </c>
      <c r="B669" s="90">
        <v>3</v>
      </c>
      <c r="C669" s="114">
        <v>0</v>
      </c>
      <c r="D669" s="90" t="s">
        <v>1396</v>
      </c>
      <c r="E669" s="90" t="b">
        <v>0</v>
      </c>
      <c r="F669" s="90" t="b">
        <v>0</v>
      </c>
      <c r="G669" s="90" t="b">
        <v>0</v>
      </c>
    </row>
    <row r="670" spans="1:7" ht="15">
      <c r="A670" s="87" t="s">
        <v>1929</v>
      </c>
      <c r="B670" s="90">
        <v>3</v>
      </c>
      <c r="C670" s="114">
        <v>0</v>
      </c>
      <c r="D670" s="90" t="s">
        <v>1396</v>
      </c>
      <c r="E670" s="90" t="b">
        <v>0</v>
      </c>
      <c r="F670" s="90" t="b">
        <v>0</v>
      </c>
      <c r="G670" s="90" t="b">
        <v>0</v>
      </c>
    </row>
    <row r="671" spans="1:7" ht="15">
      <c r="A671" s="87" t="s">
        <v>2062</v>
      </c>
      <c r="B671" s="90">
        <v>2</v>
      </c>
      <c r="C671" s="114">
        <v>0.012555822492622696</v>
      </c>
      <c r="D671" s="90" t="s">
        <v>1396</v>
      </c>
      <c r="E671" s="90" t="b">
        <v>0</v>
      </c>
      <c r="F671" s="90" t="b">
        <v>0</v>
      </c>
      <c r="G671" s="90" t="b">
        <v>0</v>
      </c>
    </row>
    <row r="672" spans="1:7" ht="15">
      <c r="A672" s="87" t="s">
        <v>1920</v>
      </c>
      <c r="B672" s="90">
        <v>2</v>
      </c>
      <c r="C672" s="114">
        <v>0.004633980501465296</v>
      </c>
      <c r="D672" s="90" t="s">
        <v>1396</v>
      </c>
      <c r="E672" s="90" t="b">
        <v>0</v>
      </c>
      <c r="F672" s="90" t="b">
        <v>0</v>
      </c>
      <c r="G672" s="90" t="b">
        <v>0</v>
      </c>
    </row>
    <row r="673" spans="1:7" ht="15">
      <c r="A673" s="87" t="s">
        <v>1926</v>
      </c>
      <c r="B673" s="90">
        <v>2</v>
      </c>
      <c r="C673" s="114">
        <v>0.004633980501465296</v>
      </c>
      <c r="D673" s="90" t="s">
        <v>1396</v>
      </c>
      <c r="E673" s="90" t="b">
        <v>0</v>
      </c>
      <c r="F673" s="90" t="b">
        <v>0</v>
      </c>
      <c r="G673" s="90" t="b">
        <v>0</v>
      </c>
    </row>
    <row r="674" spans="1:7" ht="15">
      <c r="A674" s="87" t="s">
        <v>1919</v>
      </c>
      <c r="B674" s="90">
        <v>2</v>
      </c>
      <c r="C674" s="114">
        <v>0.004633980501465296</v>
      </c>
      <c r="D674" s="90" t="s">
        <v>1396</v>
      </c>
      <c r="E674" s="90" t="b">
        <v>0</v>
      </c>
      <c r="F674" s="90" t="b">
        <v>0</v>
      </c>
      <c r="G674" s="90" t="b">
        <v>0</v>
      </c>
    </row>
    <row r="675" spans="1:7" ht="15">
      <c r="A675" s="87" t="s">
        <v>1883</v>
      </c>
      <c r="B675" s="90">
        <v>2</v>
      </c>
      <c r="C675" s="114">
        <v>0.004633980501465296</v>
      </c>
      <c r="D675" s="90" t="s">
        <v>1396</v>
      </c>
      <c r="E675" s="90" t="b">
        <v>0</v>
      </c>
      <c r="F675" s="90" t="b">
        <v>0</v>
      </c>
      <c r="G675" s="90" t="b">
        <v>0</v>
      </c>
    </row>
    <row r="676" spans="1:7" ht="15">
      <c r="A676" s="87" t="s">
        <v>1912</v>
      </c>
      <c r="B676" s="90">
        <v>2</v>
      </c>
      <c r="C676" s="114">
        <v>0.004633980501465296</v>
      </c>
      <c r="D676" s="90" t="s">
        <v>1396</v>
      </c>
      <c r="E676" s="90" t="b">
        <v>0</v>
      </c>
      <c r="F676" s="90" t="b">
        <v>0</v>
      </c>
      <c r="G676" s="90" t="b">
        <v>0</v>
      </c>
    </row>
    <row r="677" spans="1:7" ht="15">
      <c r="A677" s="87" t="s">
        <v>2063</v>
      </c>
      <c r="B677" s="90">
        <v>2</v>
      </c>
      <c r="C677" s="114">
        <v>0.004633980501465296</v>
      </c>
      <c r="D677" s="90" t="s">
        <v>1396</v>
      </c>
      <c r="E677" s="90" t="b">
        <v>0</v>
      </c>
      <c r="F677" s="90" t="b">
        <v>0</v>
      </c>
      <c r="G677" s="90" t="b">
        <v>0</v>
      </c>
    </row>
    <row r="678" spans="1:7" ht="15">
      <c r="A678" s="87" t="s">
        <v>2064</v>
      </c>
      <c r="B678" s="90">
        <v>2</v>
      </c>
      <c r="C678" s="114">
        <v>0.004633980501465296</v>
      </c>
      <c r="D678" s="90" t="s">
        <v>1396</v>
      </c>
      <c r="E678" s="90" t="b">
        <v>0</v>
      </c>
      <c r="F678" s="90" t="b">
        <v>0</v>
      </c>
      <c r="G678" s="90" t="b">
        <v>0</v>
      </c>
    </row>
    <row r="679" spans="1:7" ht="15">
      <c r="A679" s="87" t="s">
        <v>2065</v>
      </c>
      <c r="B679" s="90">
        <v>2</v>
      </c>
      <c r="C679" s="114">
        <v>0.004633980501465296</v>
      </c>
      <c r="D679" s="90" t="s">
        <v>1396</v>
      </c>
      <c r="E679" s="90" t="b">
        <v>0</v>
      </c>
      <c r="F679" s="90" t="b">
        <v>1</v>
      </c>
      <c r="G679" s="90" t="b">
        <v>0</v>
      </c>
    </row>
    <row r="680" spans="1:7" ht="15">
      <c r="A680" s="87" t="s">
        <v>1817</v>
      </c>
      <c r="B680" s="90">
        <v>2</v>
      </c>
      <c r="C680" s="114">
        <v>0.004633980501465296</v>
      </c>
      <c r="D680" s="90" t="s">
        <v>1396</v>
      </c>
      <c r="E680" s="90" t="b">
        <v>0</v>
      </c>
      <c r="F680" s="90" t="b">
        <v>0</v>
      </c>
      <c r="G680" s="90" t="b">
        <v>0</v>
      </c>
    </row>
    <row r="681" spans="1:7" ht="15">
      <c r="A681" s="87" t="s">
        <v>2066</v>
      </c>
      <c r="B681" s="90">
        <v>2</v>
      </c>
      <c r="C681" s="114">
        <v>0.004633980501465296</v>
      </c>
      <c r="D681" s="90" t="s">
        <v>1396</v>
      </c>
      <c r="E681" s="90" t="b">
        <v>0</v>
      </c>
      <c r="F681" s="90" t="b">
        <v>0</v>
      </c>
      <c r="G681" s="90" t="b">
        <v>0</v>
      </c>
    </row>
    <row r="682" spans="1:7" ht="15">
      <c r="A682" s="87" t="s">
        <v>2067</v>
      </c>
      <c r="B682" s="90">
        <v>2</v>
      </c>
      <c r="C682" s="114">
        <v>0.004633980501465296</v>
      </c>
      <c r="D682" s="90" t="s">
        <v>1396</v>
      </c>
      <c r="E682" s="90" t="b">
        <v>0</v>
      </c>
      <c r="F682" s="90" t="b">
        <v>0</v>
      </c>
      <c r="G682" s="90" t="b">
        <v>0</v>
      </c>
    </row>
    <row r="683" spans="1:7" ht="15">
      <c r="A683" s="87" t="s">
        <v>2068</v>
      </c>
      <c r="B683" s="90">
        <v>2</v>
      </c>
      <c r="C683" s="114">
        <v>0.004633980501465296</v>
      </c>
      <c r="D683" s="90" t="s">
        <v>1396</v>
      </c>
      <c r="E683" s="90" t="b">
        <v>0</v>
      </c>
      <c r="F683" s="90" t="b">
        <v>0</v>
      </c>
      <c r="G683" s="90" t="b">
        <v>0</v>
      </c>
    </row>
    <row r="684" spans="1:7" ht="15">
      <c r="A684" s="87" t="s">
        <v>2069</v>
      </c>
      <c r="B684" s="90">
        <v>2</v>
      </c>
      <c r="C684" s="114">
        <v>0.004633980501465296</v>
      </c>
      <c r="D684" s="90" t="s">
        <v>1396</v>
      </c>
      <c r="E684" s="90" t="b">
        <v>0</v>
      </c>
      <c r="F684" s="90" t="b">
        <v>0</v>
      </c>
      <c r="G684" s="90" t="b">
        <v>0</v>
      </c>
    </row>
    <row r="685" spans="1:7" ht="15">
      <c r="A685" s="87" t="s">
        <v>2070</v>
      </c>
      <c r="B685" s="90">
        <v>2</v>
      </c>
      <c r="C685" s="114">
        <v>0.004633980501465296</v>
      </c>
      <c r="D685" s="90" t="s">
        <v>1396</v>
      </c>
      <c r="E685" s="90" t="b">
        <v>0</v>
      </c>
      <c r="F685" s="90" t="b">
        <v>0</v>
      </c>
      <c r="G685" s="90" t="b">
        <v>0</v>
      </c>
    </row>
    <row r="686" spans="1:7" ht="15">
      <c r="A686" s="87" t="s">
        <v>2071</v>
      </c>
      <c r="B686" s="90">
        <v>2</v>
      </c>
      <c r="C686" s="114">
        <v>0.004633980501465296</v>
      </c>
      <c r="D686" s="90" t="s">
        <v>1396</v>
      </c>
      <c r="E686" s="90" t="b">
        <v>0</v>
      </c>
      <c r="F686" s="90" t="b">
        <v>0</v>
      </c>
      <c r="G686" s="90" t="b">
        <v>0</v>
      </c>
    </row>
    <row r="687" spans="1:7" ht="15">
      <c r="A687" s="87" t="s">
        <v>2072</v>
      </c>
      <c r="B687" s="90">
        <v>2</v>
      </c>
      <c r="C687" s="114">
        <v>0.004633980501465296</v>
      </c>
      <c r="D687" s="90" t="s">
        <v>1396</v>
      </c>
      <c r="E687" s="90" t="b">
        <v>0</v>
      </c>
      <c r="F687" s="90" t="b">
        <v>0</v>
      </c>
      <c r="G687" s="90" t="b">
        <v>0</v>
      </c>
    </row>
    <row r="688" spans="1:7" ht="15">
      <c r="A688" s="87" t="s">
        <v>2073</v>
      </c>
      <c r="B688" s="90">
        <v>2</v>
      </c>
      <c r="C688" s="114">
        <v>0.004633980501465296</v>
      </c>
      <c r="D688" s="90" t="s">
        <v>1396</v>
      </c>
      <c r="E688" s="90" t="b">
        <v>0</v>
      </c>
      <c r="F688" s="90" t="b">
        <v>0</v>
      </c>
      <c r="G688" s="90" t="b">
        <v>0</v>
      </c>
    </row>
    <row r="689" spans="1:7" ht="15">
      <c r="A689" s="87" t="s">
        <v>1925</v>
      </c>
      <c r="B689" s="90">
        <v>2</v>
      </c>
      <c r="C689" s="114">
        <v>0.004633980501465296</v>
      </c>
      <c r="D689" s="90" t="s">
        <v>1396</v>
      </c>
      <c r="E689" s="90" t="b">
        <v>0</v>
      </c>
      <c r="F689" s="90" t="b">
        <v>0</v>
      </c>
      <c r="G689" s="90" t="b">
        <v>0</v>
      </c>
    </row>
    <row r="690" spans="1:7" ht="15">
      <c r="A690" s="87" t="s">
        <v>2074</v>
      </c>
      <c r="B690" s="90">
        <v>2</v>
      </c>
      <c r="C690" s="114">
        <v>0.004633980501465296</v>
      </c>
      <c r="D690" s="90" t="s">
        <v>1396</v>
      </c>
      <c r="E690" s="90" t="b">
        <v>0</v>
      </c>
      <c r="F690" s="90" t="b">
        <v>0</v>
      </c>
      <c r="G690" s="90" t="b">
        <v>0</v>
      </c>
    </row>
    <row r="691" spans="1:7" ht="15">
      <c r="A691" s="87" t="s">
        <v>2075</v>
      </c>
      <c r="B691" s="90">
        <v>2</v>
      </c>
      <c r="C691" s="114">
        <v>0.004633980501465296</v>
      </c>
      <c r="D691" s="90" t="s">
        <v>1396</v>
      </c>
      <c r="E691" s="90" t="b">
        <v>0</v>
      </c>
      <c r="F691" s="90" t="b">
        <v>0</v>
      </c>
      <c r="G691"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08F2609-DC7A-4D57-8C7E-5776828A46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2022-06-19T11:33:48Z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