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8" yWindow="65428" windowWidth="23256" windowHeight="1245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Edges" sheetId="16" state="hidden" r:id="rId14"/>
    <sheet name="Time Series" sheetId="17"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<sst xmlns="http://schemas.openxmlformats.org/spreadsheetml/2006/main" count="9786" uniqueCount="2032">
  <si>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</si>
  <si>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</si>
  <si>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</si>
  <si>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</si>
  <si>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</si>
  <si>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</si>
  <si>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</si>
  <si>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</si>
  <si>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</si>
  <si>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</si>
  <si>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</si>
  <si>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</si>
  <si>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</si>
  <si>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</si>
  <si>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</si>
  <si>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</si>
  <si>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</si>
  <si>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</si>
  <si>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</si>
  <si>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</si>
  <si>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</si>
  <si>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</si>
  <si>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</si>
  <si>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</si>
  <si>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</si>
  <si>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</si>
  <si>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</si>
  <si>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</si>
  <si>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</si>
  <si>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</si>
  <si>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</si>
  <si>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</si>
  <si>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</si>
  <si>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</si>
  <si>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</si>
  <si>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</si>
  <si>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</si>
  <si>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</si>
  <si>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</si>
  <si>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</si>
  <si>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</si>
  <si>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</si>
  <si>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</si>
  <si>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</si>
  <si>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</si>
  <si>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</si>
  <si>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</si>
  <si>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</si>
  <si>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</si>
  <si>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</si>
  <si>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</si>
  <si>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</si>
  <si>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</si>
  <si>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</si>
  <si>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</si>
  <si>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</si>
  <si>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</si>
  <si>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</si>
  <si>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</si>
  <si>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</si>
  <si>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</si>
  <si>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</si>
  <si>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</si>
  <si>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</si>
  <si>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</si>
  <si>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</si>
  <si>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</si>
  <si>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</si>
  <si>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</si>
  <si>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</si>
  <si>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</si>
  <si>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</si>
  <si>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</si>
  <si>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</si>
  <si>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</si>
  <si>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</si>
  <si>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</si>
  <si>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</si>
  <si>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</si>
  <si>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</si>
  <si>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</si>
  <si>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</si>
  <si>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</si>
  <si>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</si>
  <si>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</si>
  <si>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</si>
  <si>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</si>
  <si>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</si>
  <si>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</si>
  <si>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</si>
  <si>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</si>
  <si>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</si>
  <si>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</si>
  <si>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</si>
  <si>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</si>
  <si>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</si>
  <si>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</si>
  <si>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</si>
  <si>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</si>
  <si>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</si>
  <si>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</si>
  <si>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</si>
  <si>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</si>
  <si>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</si>
  <si>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</si>
  <si>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</si>
  <si>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</si>
  <si>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</si>
  <si>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</si>
  <si>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</si>
  <si>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</si>
  <si>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</si>
  <si>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</si>
  <si>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</si>
  <si>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</si>
  <si>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</si>
  <si>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</si>
  <si>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</si>
  <si>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</si>
  <si>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</si>
  <si>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</si>
  <si>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</si>
  <si>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</si>
  <si>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</si>
  <si>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</si>
  <si>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</si>
  <si>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</si>
  <si>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</si>
  <si>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</si>
  <si>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</si>
  <si>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</si>
  <si>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</si>
  <si>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</si>
  <si>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</si>
  <si>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</si>
  <si>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</si>
  <si>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</si>
  <si>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</si>
  <si>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</si>
  <si>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</si>
  <si>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</si>
  <si>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</si>
  <si>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</si>
  <si>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</si>
  <si>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</si>
  <si>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</si>
  <si>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</si>
  <si>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</si>
  <si>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</si>
  <si>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</si>
  <si>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</si>
  <si>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</si>
  <si>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</si>
  <si>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</si>
  <si>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</si>
  <si>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</si>
  <si>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</si>
  <si>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</si>
  <si>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</si>
  <si>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</si>
  <si>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</si>
  <si>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</si>
  <si>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</si>
  <si>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</si>
  <si>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</si>
  <si>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</si>
  <si>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</si>
  <si>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</si>
  <si>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</si>
  <si>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</si>
  <si>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</si>
  <si>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</si>
  <si>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</si>
  <si>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</si>
  <si>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</si>
  <si>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</si>
  <si>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</si>
  <si>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</si>
  <si>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</si>
  <si>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</si>
  <si>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</si>
  <si>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</si>
  <si>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</si>
  <si>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</si>
  <si>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</si>
  <si>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</si>
  <si>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</si>
  <si>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</si>
  <si>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</si>
  <si>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</si>
  <si>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</si>
  <si>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</si>
  <si>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</si>
  <si>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</si>
  <si>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</si>
  <si>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</si>
  <si>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</si>
  <si>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</si>
  <si>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</si>
  <si>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</si>
  <si>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</si>
  <si>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</si>
  <si>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</si>
  <si>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</si>
  <si>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</si>
  <si>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</si>
  <si>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</si>
  <si>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</si>
  <si>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</si>
  <si>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</si>
  <si>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</si>
  <si>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</si>
  <si>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</si>
  <si>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</si>
  <si>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</si>
  <si>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</si>
  <si>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</si>
  <si>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</si>
  <si>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</si>
  <si>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</si>
  <si>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</si>
  <si>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</si>
  <si>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</si>
  <si>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</si>
  <si>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</si>
  <si>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</si>
  <si>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</si>
  <si>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</si>
  <si>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</si>
  <si>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</si>
  <si>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</si>
  <si>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</si>
  <si>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</si>
  <si>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</si>
  <si>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</si>
  <si>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</si>
  <si>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</si>
  <si>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</si>
  <si>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</si>
  <si>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</si>
  <si>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</si>
  <si>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</si>
  <si>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</si>
  <si>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</si>
  <si>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</si>
  <si>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</si>
  <si>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</si>
  <si>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</si>
  <si>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</si>
  <si>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</si>
  <si>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</si>
  <si>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</si>
  <si>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</si>
  <si>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</si>
  <si>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</si>
  <si>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</si>
  <si>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l_pugmire</t>
  </si>
  <si>
    <t>businessdesk_nz</t>
  </si>
  <si>
    <t>auepochtimes</t>
  </si>
  <si>
    <t>kjusticemotors</t>
  </si>
  <si>
    <t>izzorv6</t>
  </si>
  <si>
    <t>epochtimes</t>
  </si>
  <si>
    <t>Retweet</t>
  </si>
  <si>
    <t>Mentions</t>
  </si>
  <si>
    <t>MentionsInRetweet</t>
  </si>
  <si>
    <t>New Zealand families will be encouraged to scrap their old vehicles in exchange for low-emission alternatives under the government’s Emissions Reduction Plan, with more details to be revealed when the 2022 budget is released.  # # # # # # #
https://t.co/IENkyaQwGQ https://t.co/sxJjYQ588K</t>
  </si>
  <si>
    <t>The government is considering how a carbon border tax system might work if it were applied to concrete imports. This week’s Emissions Reduction Plan (ERP) outlines work on how the Emission Trading Scheme (ETS) could be fine-tuned to reduce emissions. https://t.co/tuWz759rs1</t>
  </si>
  <si>
    <t>#NewZealand families will be encouraged to scrap their old vehicles in exchange for low-emission alternatives under the government’s #Emissions Reduction Plan, with more details to be revealed when the 2022 budget is released.
https://t.co/zd77gGTVfj via @epochtimes</t>
  </si>
  <si>
    <t>truthusa.us</t>
  </si>
  <si>
    <t>co.nz</t>
  </si>
  <si>
    <t>theepochtimes.com</t>
  </si>
  <si>
    <t>newzealand emissions</t>
  </si>
  <si>
    <t>10:47:20</t>
  </si>
  <si>
    <t>21:34:56</t>
  </si>
  <si>
    <t>02:35:07</t>
  </si>
  <si>
    <t>02:41:08</t>
  </si>
  <si>
    <t>10:09:45</t>
  </si>
  <si>
    <t>1526514702301696000</t>
  </si>
  <si>
    <t>1526677673736798208</t>
  </si>
  <si>
    <t>1526753216859365377</t>
  </si>
  <si>
    <t>1526754733293199362</t>
  </si>
  <si>
    <t>1526505243541913600</t>
  </si>
  <si>
    <t/>
  </si>
  <si>
    <t>en</t>
  </si>
  <si>
    <t>Twitter for iPhone</t>
  </si>
  <si>
    <t>Twitter Web App</t>
  </si>
  <si>
    <t>Crowdfire App</t>
  </si>
  <si>
    <t>Blog2Social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</si>
  <si>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</si>
  <si>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</si>
  <si>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</si>
  <si>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</si>
  <si>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</si>
  <si>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</si>
  <si>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</si>
  <si>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</si>
  <si>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</si>
  <si>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</si>
  <si>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</si>
  <si>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</si>
  <si>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</si>
  <si>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</si>
  <si>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</si>
  <si>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</si>
  <si>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</si>
  <si>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</si>
  <si>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</si>
  <si>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</si>
  <si>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</si>
  <si>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</si>
  <si>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 L Pugmire</t>
  </si>
  <si>
    <t>BusinessDesk_NZ</t>
  </si>
  <si>
    <t>The Epoch Times Australia _xD83C__xDDE6__xD83C__xDDFA_</t>
  </si>
  <si>
    <t>The Epoch Times</t>
  </si>
  <si>
    <t>Kelly justice</t>
  </si>
  <si>
    <t>Mike Izzo</t>
  </si>
  <si>
    <t>1522872817498349568</t>
  </si>
  <si>
    <t>964009992033419264</t>
  </si>
  <si>
    <t>1288653700349571072</t>
  </si>
  <si>
    <t>29097819</t>
  </si>
  <si>
    <t>2791949866</t>
  </si>
  <si>
    <t>219254618</t>
  </si>
  <si>
    <t>Follow the money — BusinessDesk is New Zealand's source for business and market news.</t>
  </si>
  <si>
    <t>An independent media company guided by truth and tradition. Bringing you the latest news from Australia and worldwide.</t>
  </si>
  <si>
    <t>Independent, award-winning reporting based on Truth and Tradition. Free newsletter: https://t.co/0F3JANwb8P | Telegram: https://t.co/Hmk1epY4Kv | Watch: https://t.co/M1G2gEVJmq</t>
  </si>
  <si>
    <t>My life’s pursuit has always been to be a Husband&amp;father, no matter what else I achieve it does not compare to this.</t>
  </si>
  <si>
    <t>New Zealand</t>
  </si>
  <si>
    <t>Australia</t>
  </si>
  <si>
    <t>New York, USA</t>
  </si>
  <si>
    <t>Arkansas, USA</t>
  </si>
  <si>
    <t>Melbourne fl</t>
  </si>
  <si>
    <t>Open Twitter Page for This Person</t>
  </si>
  <si>
    <t>l_pugmire
New Zealand families will be encouraged
to scrap their old vehicles in
exchange for low-emission alternatives
under the government’s Emissions
Reduction Plan, with more details
to be revealed when the 2022 budget
is released. # # # # # # # https://t.co/IENkyaQwGQ
https://t.co/sxJjYQ588K</t>
  </si>
  <si>
    <t>businessdesk_nz
The government is considering how
a carbon border tax system might
work if it were applied to concrete
imports. This week’s Emissions
Reduction Plan (ERP) outlines work
on how the Emission Trading Scheme
(ETS) could be fine-tuned to reduce
emissions. https://t.co/tuWz759rs1</t>
  </si>
  <si>
    <t>auepochtimes
#NewZealand families will be encouraged
to scrap their old vehicles in
exchange for low-emission alternatives
under the government’s #Emissions
Reduction Plan, with more details
to be revealed when the 2022 budget
is released. https://t.co/zd77gGTVfj
via @epochtimes</t>
  </si>
  <si>
    <t xml:space="preserve">epochtimes
</t>
  </si>
  <si>
    <t>kjusticemotors
#NewZealand families will be encouraged
to scrap their old vehicles in
exchange for low-emission alternatives
under the government’s #Emissions
Reduction Plan, with more details
to be revealed when the 2022 budget
is released. https://t.co/zd77gGTVfj
via @epochtimes</t>
  </si>
  <si>
    <t>izzorv6
New Zealand families will be encouraged
to scrap their old vehicles in
exchange for low-emission alternatives
under the government’s Emissions
Reduction Plan, with more details
to be revealed when the 2022 budget
is released. # # # # # # # https://t.co/IENkyaQwGQ
https://t.co/sxJjYQ588K</t>
  </si>
  <si>
    <t>Directed</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</si>
  <si>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</si>
  <si>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</si>
  <si>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</si>
  <si>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</si>
  <si>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</si>
  <si>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</si>
  <si>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</si>
  <si>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</si>
  <si>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</si>
  <si>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</si>
  <si>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</si>
  <si>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</si>
  <si>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</si>
  <si>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</si>
  <si>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</si>
  <si>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</si>
  <si>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</si>
  <si>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</si>
  <si>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</si>
  <si>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</si>
  <si>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
  </si>
  <si>
    <t>emission</t>
  </si>
  <si>
    <t>government</t>
  </si>
  <si>
    <t>reduction</t>
  </si>
  <si>
    <t>plan</t>
  </si>
  <si>
    <t>families</t>
  </si>
  <si>
    <t>encouraged</t>
  </si>
  <si>
    <t>scrap</t>
  </si>
  <si>
    <t>old</t>
  </si>
  <si>
    <t>vehicles</t>
  </si>
  <si>
    <t>exchange</t>
  </si>
  <si>
    <t>low</t>
  </si>
  <si>
    <t>alternatives</t>
  </si>
  <si>
    <t>under</t>
  </si>
  <si>
    <t>more</t>
  </si>
  <si>
    <t>details</t>
  </si>
  <si>
    <t>revealed</t>
  </si>
  <si>
    <t>2022</t>
  </si>
  <si>
    <t>budget</t>
  </si>
  <si>
    <t>released</t>
  </si>
  <si>
    <t>emissions</t>
  </si>
  <si>
    <t>#newzealand</t>
  </si>
  <si>
    <t>#emissions</t>
  </si>
  <si>
    <t>work</t>
  </si>
  <si>
    <t>zealand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</si>
  <si>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</si>
  <si>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</si>
  <si>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</si>
  <si>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</si>
  <si>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</si>
  <si>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</si>
  <si>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</si>
  <si>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</si>
  <si>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</si>
  <si>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</si>
  <si>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</si>
  <si>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</si>
  <si>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</si>
  <si>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</si>
  <si>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</si>
  <si>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</si>
  <si>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</si>
  <si>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</si>
  <si>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</si>
  <si>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</si>
  <si>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</si>
  <si>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</si>
  <si>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</si>
  <si>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</si>
  <si>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</si>
  <si>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</si>
  <si>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</si>
  <si>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</si>
  <si>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</si>
  <si>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</si>
  <si>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</si>
  <si>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</si>
  <si>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</si>
  <si>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</si>
  <si>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</si>
  <si>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</si>
  <si>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</si>
  <si>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</si>
  <si>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</si>
  <si>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</si>
  <si>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</si>
  <si>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</si>
  <si>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</si>
  <si>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</si>
  <si>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</si>
  <si>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</si>
  <si>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</si>
  <si>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</si>
  <si>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</si>
  <si>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</si>
  <si>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</si>
  <si>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</si>
  <si>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</si>
  <si>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</si>
  <si>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</si>
  <si>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</si>
  <si>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</si>
  <si>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</si>
  <si>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</si>
  <si>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</si>
  <si>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</si>
  <si>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</si>
  <si>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</si>
  <si>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</si>
  <si>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</si>
  <si>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https://www.theepochtimes.com/new-zealand-government-to-use-emission-trading-scheme-to-fund-ev-rollout_4471459.html?utm_source=ref_share&amp;utm_campaign=tw&amp;rs=SHRNRRCV</t>
  </si>
  <si>
    <t>https://truthusa.us/business-news/new-zealand-government-to-use-emission-trading-scheme-to-fund-ev-rollout/</t>
  </si>
  <si>
    <t>https://businessdesk.co.nz/article/climate-change/concrete-govt-eyes-carbon-border-tax</t>
  </si>
  <si>
    <t>Entire Graph Count</t>
  </si>
  <si>
    <t>Top URLs in Tweet in G1</t>
  </si>
  <si>
    <t>Top URLs in Tweet in G2</t>
  </si>
  <si>
    <t>G1 Count</t>
  </si>
  <si>
    <t>Top URLs in Tweet in G3</t>
  </si>
  <si>
    <t>G2 Count</t>
  </si>
  <si>
    <t>Top URLs in Tweet in G4</t>
  </si>
  <si>
    <t>G3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</si>
  <si>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</si>
  <si>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</si>
  <si>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</si>
  <si>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</si>
  <si>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</si>
  <si>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</si>
  <si>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</si>
  <si>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</si>
  <si>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newzealand</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</si>
  <si>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</si>
  <si>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</si>
  <si>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</si>
  <si>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</si>
  <si>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</si>
  <si>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</si>
  <si>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</si>
  <si>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</si>
  <si>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</si>
  <si>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</si>
  <si>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</si>
  <si>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#newzealand families encouraged scrap old vehicles exchange low emission alternatives</t>
  </si>
  <si>
    <t># zealand families encouraged scrap old vehicles exchange low emission</t>
  </si>
  <si>
    <t>Top Word Pairs in Tweet in Entire Graph</t>
  </si>
  <si>
    <t>reduction,plan</t>
  </si>
  <si>
    <t>families,encouraged</t>
  </si>
  <si>
    <t>encouraged,scrap</t>
  </si>
  <si>
    <t>scrap,old</t>
  </si>
  <si>
    <t>old,vehicles</t>
  </si>
  <si>
    <t>vehicles,exchange</t>
  </si>
  <si>
    <t>exchange,low</t>
  </si>
  <si>
    <t>low,emission</t>
  </si>
  <si>
    <t>emission,alternatives</t>
  </si>
  <si>
    <t>Top Word Pairs in Tweet in G1</t>
  </si>
  <si>
    <t>#newzealand,families</t>
  </si>
  <si>
    <t>alternatives,under</t>
  </si>
  <si>
    <t>Top Word Pairs in Tweet in G2</t>
  </si>
  <si>
    <t>Top Word Pairs in Tweet in G3</t>
  </si>
  <si>
    <t>Top Word Pairs in Tweet in G4</t>
  </si>
  <si>
    <t>Top Word Pairs in Tweet</t>
  </si>
  <si>
    <t>#newzealand,families  families,encouraged  encouraged,scrap  scrap,old  old,vehicles  vehicles,exchange  exchange,low  low,emission  emission,alternatives  alternatives,under</t>
  </si>
  <si>
    <t>#,#  zealand,families  families,encouraged  encouraged,scrap  scrap,old  old,vehicles  vehicles,exchange  exchange,low  low,emission  emission,alternatives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</si>
  <si>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</si>
  <si>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</si>
  <si>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</si>
  <si>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</si>
  <si>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</si>
  <si>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</si>
  <si>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</si>
  <si>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</si>
  <si>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</si>
  <si>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</si>
  <si>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</si>
  <si>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</si>
  <si>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</si>
  <si>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</si>
  <si>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</si>
  <si>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</si>
  <si>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</si>
  <si>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</si>
  <si>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epochtimes kjusticemotors auepochtimes</t>
  </si>
  <si>
    <t>izzorv6 l_pugmire</t>
  </si>
  <si>
    <t>URLs in Tweet by Count</t>
  </si>
  <si>
    <t>URLs in Tweet by Salience</t>
  </si>
  <si>
    <t>Domains in Tweet by Count</t>
  </si>
  <si>
    <t>Domains in Tweet by Salience</t>
  </si>
  <si>
    <t>Hashtags in Tweet by Count</t>
  </si>
  <si>
    <t>Hashtags in Tweet by Salience</t>
  </si>
  <si>
    <t>Top Words in Tweet by Count</t>
  </si>
  <si>
    <t># zealand families encouraged scrap old vehicles exchange low alternatives</t>
  </si>
  <si>
    <t>work emissions government considering carbon border tax system applied concrete</t>
  </si>
  <si>
    <t>#newzealand families encouraged scrap old vehicles exchange low alternatives under</t>
  </si>
  <si>
    <t>Top Words in Tweet by Salience</t>
  </si>
  <si>
    <t>Top Word Pairs in Tweet by Count</t>
  </si>
  <si>
    <t>government,considering  considering,carbon  carbon,border  border,tax  tax,system  system,work  work,applied  applied,concrete  concrete,imports  imports,week</t>
  </si>
  <si>
    <t>Top Word Pairs in Tweet by Salience</t>
  </si>
  <si>
    <t>Count of Relationship Date (UTC)</t>
  </si>
  <si>
    <t>Row Labels</t>
  </si>
  <si>
    <t>Grand Total</t>
  </si>
  <si>
    <t>128, 128, 128</t>
  </si>
  <si>
    <t>TwitterSearch</t>
  </si>
  <si>
    <t>The graph was laid out using the Harel-Koren Fast Multiscale layout algorithm.</t>
  </si>
  <si>
    <t>The graph's vertices were grouped by cluster using the Clauset-Newman-Moore cluster algorithm.</t>
  </si>
  <si>
    <t>dlrppn</t>
  </si>
  <si>
    <t>jimgildea2014</t>
  </si>
  <si>
    <t>rich_homewood</t>
  </si>
  <si>
    <t>isalutem</t>
  </si>
  <si>
    <t>matthewprimous</t>
  </si>
  <si>
    <t>globalcompactsa</t>
  </si>
  <si>
    <t>lawler_consult</t>
  </si>
  <si>
    <t>michaelpolanyi</t>
  </si>
  <si>
    <t>nzstuffpolitics</t>
  </si>
  <si>
    <t>falconseaknight</t>
  </si>
  <si>
    <t>annacwhyte</t>
  </si>
  <si>
    <t>ddub_news</t>
  </si>
  <si>
    <t>peggymel2001</t>
  </si>
  <si>
    <t>abcnews</t>
  </si>
  <si>
    <t>zazava</t>
  </si>
  <si>
    <t>babahererra</t>
  </si>
  <si>
    <t>imam_president</t>
  </si>
  <si>
    <t>muribond</t>
  </si>
  <si>
    <t>waziriey17</t>
  </si>
  <si>
    <t>toluogunlesi</t>
  </si>
  <si>
    <t>sololurd</t>
  </si>
  <si>
    <t>tovaobrien</t>
  </si>
  <si>
    <t>eco1start</t>
  </si>
  <si>
    <t>urbantui</t>
  </si>
  <si>
    <t>allantaunt</t>
  </si>
  <si>
    <t>newshubpolitics</t>
  </si>
  <si>
    <t>newshubnz</t>
  </si>
  <si>
    <t>newshubbreaking</t>
  </si>
  <si>
    <t>jamieensor</t>
  </si>
  <si>
    <t>nichols_lindy</t>
  </si>
  <si>
    <t>nzgreens</t>
  </si>
  <si>
    <t>pearlwendyl</t>
  </si>
  <si>
    <t>alisondesu</t>
  </si>
  <si>
    <t>napierinframe</t>
  </si>
  <si>
    <t>eugeniesage</t>
  </si>
  <si>
    <t>essigna</t>
  </si>
  <si>
    <t>macilree</t>
  </si>
  <si>
    <t>uriohau</t>
  </si>
  <si>
    <t>jennyneligan</t>
  </si>
  <si>
    <t>haylskoroi</t>
  </si>
  <si>
    <t>riseup4cja</t>
  </si>
  <si>
    <t>peterja27056176</t>
  </si>
  <si>
    <t>russelnorman</t>
  </si>
  <si>
    <t>brianborunz</t>
  </si>
  <si>
    <t>newstalkzb</t>
  </si>
  <si>
    <t>wellingtonuni</t>
  </si>
  <si>
    <t>norightturnnz</t>
  </si>
  <si>
    <t>gplnz</t>
  </si>
  <si>
    <t>paulbmcgill</t>
  </si>
  <si>
    <t>nickofnz</t>
  </si>
  <si>
    <t>olivefarmer</t>
  </si>
  <si>
    <t>publicaddress</t>
  </si>
  <si>
    <t>bigfunk__</t>
  </si>
  <si>
    <t>scoopwellington</t>
  </si>
  <si>
    <t>julieannegenter</t>
  </si>
  <si>
    <t>mighty_kites</t>
  </si>
  <si>
    <t>whiskymead</t>
  </si>
  <si>
    <t>misswhanau</t>
  </si>
  <si>
    <t>egmanash</t>
  </si>
  <si>
    <t>stuffauckland</t>
  </si>
  <si>
    <t>wsmith01984</t>
  </si>
  <si>
    <t>patrickmorgan</t>
  </si>
  <si>
    <t>timjonesbooks</t>
  </si>
  <si>
    <t>themblogger31</t>
  </si>
  <si>
    <t>anth0888</t>
  </si>
  <si>
    <t>jdeheij</t>
  </si>
  <si>
    <t>jes_af</t>
  </si>
  <si>
    <t>lindseyconrow</t>
  </si>
  <si>
    <t>guardineer</t>
  </si>
  <si>
    <t>jaackiepaul</t>
  </si>
  <si>
    <t>gregpresland</t>
  </si>
  <si>
    <t>iscouncil_</t>
  </si>
  <si>
    <t>otautaut</t>
  </si>
  <si>
    <t>leftiebynature</t>
  </si>
  <si>
    <t>3ku1111</t>
  </si>
  <si>
    <t>jimrosenz</t>
  </si>
  <si>
    <t>bjafari</t>
  </si>
  <si>
    <t>geoffrey_payne</t>
  </si>
  <si>
    <t>radionz</t>
  </si>
  <si>
    <t>lordfusitua</t>
  </si>
  <si>
    <t>emuga12</t>
  </si>
  <si>
    <t>garethhughesnz</t>
  </si>
  <si>
    <t>weall_aotearoa</t>
  </si>
  <si>
    <t>climatejusticet</t>
  </si>
  <si>
    <t>envirdebbie</t>
  </si>
  <si>
    <t>needlesineyes</t>
  </si>
  <si>
    <t>mark_tilly1</t>
  </si>
  <si>
    <t>nashthomas</t>
  </si>
  <si>
    <t>gaymaxine</t>
  </si>
  <si>
    <t>genevivelabont1</t>
  </si>
  <si>
    <t>emilypont</t>
  </si>
  <si>
    <t>3rdworldnetwork</t>
  </si>
  <si>
    <t>vheeringa</t>
  </si>
  <si>
    <t>edairynews</t>
  </si>
  <si>
    <t>insights_nz</t>
  </si>
  <si>
    <t>toituenvirocare</t>
  </si>
  <si>
    <t>jamespeshaw</t>
  </si>
  <si>
    <t>iata</t>
  </si>
  <si>
    <t>joshfrydenberg</t>
  </si>
  <si>
    <t>david_speers</t>
  </si>
  <si>
    <t>cyclingactionnz</t>
  </si>
  <si>
    <t>geraldpiddock</t>
  </si>
  <si>
    <t>simonkingham</t>
  </si>
  <si>
    <t>rachelnotley</t>
  </si>
  <si>
    <t>jkenney</t>
  </si>
  <si>
    <t>s_guilbeault</t>
  </si>
  <si>
    <t>maoritv</t>
  </si>
  <si>
    <t>thespinofftv</t>
  </si>
  <si>
    <t>chrisminnsmp</t>
  </si>
  <si>
    <t>carbonpulse</t>
  </si>
  <si>
    <t>tvanouvelles</t>
  </si>
  <si>
    <t>rebelwild41</t>
  </si>
  <si>
    <t>Replies to</t>
  </si>
  <si>
    <t>Invitation - The launch of the results of the Dublin Region Energy Master Plan on Wednesday, 1st June at 11am.
This Plan provides realistic, evidence-based pathways for the Dublin Region to achieve its carbon emission reduction targets to 2030 and 2050.  
https://t.co/wpK1zMhF26 https://t.co/knTvOECJKA</t>
  </si>
  <si>
    <t>Today FNSF announced a partnership with Aquila Capital to build 1GW of solar across New Zealand! This will be a major boost to the upcoming Emission Reduction Plan to be announced by @jamespeshaw on May 16th! The time for change is now! _xD83D__xDCAA_☀️
https://t.co/ljiyaOSaz9</t>
  </si>
  <si>
    <t>Integrity Intrigue Innovation Inc. investment at work: Jet Token Inc. authorizes Carbon Emissions Reduction plan with Terrapass. HondaJet Elite S is highly efficient, and business aviation overall only represents 0.2% of global greenhouse gas emissions, every emission counts.</t>
  </si>
  <si>
    <t>Registrations close today for our #ClimateAmbition Accelerator. Join companies on this six-month journey that motivates investors, leadership, employees &amp;amp; shareholders with an emission reduction plan that sets your organization apart in the market. 
Join: https://t.co/76yaZF2b7N https://t.co/e7FDKDU0ca</t>
  </si>
  <si>
    <t>Ireland has recently launched its Climate Action Plan which has legally committed to achieving a net-zero greenhouse gas emission target by no later than 2050 and an overall reduction of 51% by 2030.
Learn how you can achieve this here: https://t.co/H5AGH5ggCY
#netzero #ireland https://t.co/Jc3rh1azzf</t>
  </si>
  <si>
    <t>Why does @IATA recognize the importance of reducing GHG emissions by 2030, yet refuse to include a 2030 emission reduction target in its Fly Net Zero plan? https://t.co/ght5uLjFcX</t>
  </si>
  <si>
    <t>OPINION: The new plan will lay out how New Zealand plans to cut carbon - but the ensuing debate will show just how much cash-strapped voters prioritise it. https://t.co/qlYJWUCQDy</t>
  </si>
  <si>
    <t>“The plan calls for building the equivalent of at least 33 new large gas power plants, according to estimates from Sierra Club California, and ‘relies on expensive and unproven technology’ in the form of carbon capture and sequestration to meet its emission reduction targets.”</t>
  </si>
  <si>
    <t>She'll be missing a big week in Parliament. We've got the emission reduction plan on Monday and Budget 2022 on Thursday. https://t.co/MmKs9joMZy</t>
  </si>
  <si>
    <t>"If it ends up with a muddle of plans that are neither fish nor fowl – or ropey industry support dressed up as climate policy – and which won't cut emissions by much, it may find itself under serious pressure from all sides." https://t.co/ZTrdSmuA0W</t>
  </si>
  <si>
    <t>"What is most important is not a target, but the plan."
@David_Speers asks @JoshFrydenberg why the Liberal Party won't move on a 2030 emission reduction target #Insiders #auspol https://t.co/oIFFCHmbI1</t>
  </si>
  <si>
    <t>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</si>
  <si>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Happy Monday from TOVA! 8am Russel Norman on Greenpeace’s emission reduction plan wishlist 8.09 Fed Farmers on what the plan will mean for them 8.19 Health strike 8.32 And got no money? Learn how to change everything from a top financial reporter who taught herself how to budget</t>
  </si>
  <si>
    <t>Emission Reduction Plan @CyclingActionNZ #ClimateAction #nzpol #fun #easy #affordable #popular https://t.co/lg9AqHKlaz</t>
  </si>
  <si>
    <t>#BREAKING: Support for Kiwis to purchase, lease low-emission vehicles - how transport's taking 'leading role' in NZ's emissions plan https://t.co/MU7KzEfoiq (Via @JamieEnsor)</t>
  </si>
  <si>
    <t>Support for Kiwis to purchase, lease low-emission vehicles: Transport takes 'leading role' climate plan https://t.co/6MZ8VXaqut</t>
  </si>
  <si>
    <t>With today’s Emission’s Reduction Plan, Climate Minister James Shaw has laid the foundations for $2.9b to transition transport, energy and agriculture away from climate pollution. Easily the most significant act of public expenditure facilitated by a Green Party Minister in NZ.</t>
  </si>
  <si>
    <t>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</si>
  <si>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We are still finalising our response to today's Emission Reduction Plan. But it will be something like "grrrrr aargh" or "aargh grrrrr" or words to that effect. $710m subsidy to agriculture instead of cow reductions - and farmers don't even pay into the ETS!</t>
  </si>
  <si>
    <t>Dairy NZ CEO and climate expert on what's needed and expected from Emission Reduction Plan
https://t.co/Fbue9SCuG7</t>
  </si>
  <si>
    <t>Prior to the #nzgovt's release of the #EmissionReduction Plan, #WellingtonUni's Adjunct Professor at the New Zealand Climate Change Research Institute Dr Adrian Macey tells @newstalkzb what to expect top priority issues to be https://t.co/GNlJwAxx56</t>
  </si>
  <si>
    <t>@GeraldPiddock _xD83E__xDD37_‍♂️as above, and adding to it all?
My view is the sector doesn’t have a plan. It doesn’t even come out in the emission reduction release stuff today?
So we just have more and more. Aldo HWEN want to be an entity around it all too. So another one there too potentially</t>
  </si>
  <si>
    <t>Bike Auckland chairperson Tony Mitchell says people won't cycle within cities if it's not safe to to do. https://t.co/xrtblHDDhv</t>
  </si>
  <si>
    <t>Full emission reduction plan report here:
Generally supportive, but strongly opposed to the ill-defined 'dirty' car scrapping plan. Does not consider manufacturing emissions. Essentially just lipstick on climate crime.
https://t.co/E1RANZNJeZ</t>
  </si>
  <si>
    <t>Useful analysis of today's Emission Reduction Plan - is it glass half full or half empty? @CyclingActionNZ https://t.co/xQhxixce2y</t>
  </si>
  <si>
    <t>Caption:
Target✅ Plan✅ Jobs✅ Technology✅ Labor’s taxes❌
Image:
"We've got a plan to back jobs and prosperity - the Australian way in a net zero, cleaner world"
- Tim Wilson MP. Assistant Minister to the Minister for Industry, Energy and Emission Reduction.</t>
  </si>
  <si>
    <t>Great thread _xD83E__xDDF5_ that also shows positive things that the Emission Reduction Plan will bring. https://t.co/qndThHVBSy</t>
  </si>
  <si>
    <t>Emission Reduction Plan's transport actions are about providing alternatives and enabling lower-emissions choices says, including for people with lower incomes says @SimonKingham https://t.co/H34kuX8fDa</t>
  </si>
  <si>
    <t>NZ Emission Reduction Plan encourages #EV purchases. @s_guilbeault @jkenney @RachelNotley https://t.co/WqzFZHApHd</t>
  </si>
  <si>
    <t>Emission reduction plan; government also launches Māori climate strategy, funding https://t.co/vzfwNEfQNx via @maoritv</t>
  </si>
  <si>
    <t>Our congratulations to the government in Aotearoa New Zealand on the issuance of their inaugural Emission Reduction Plan with the first three emissions budgets agreed last week. #sustainableinfrastructure #newzealand #infrastructure https://t.co/sk0tvFNF8e</t>
  </si>
  <si>
    <t>On the emission reduction package. It’s too centrist. It does not go far enough. But it’s a good stepping stone. If you want more vote Greens. As I plan to do next years GE #nzpol</t>
  </si>
  <si>
    <t>The government is spending $650m over four years, as part of its Emissions Reduction Plan, on moving industries away from using fossil fuels. The National Party Leader does not think taxpayers should subsidise the cost. https://t.co/9wPP76xu2I</t>
  </si>
  <si>
    <t>NZ continues to add to its transport decarbonisation plan with the Clean Car Upgrade for low and middle income households. This comes on top of its feebate and fuel efficiency standard schemes.
https://t.co/JTKIT1YTuf</t>
  </si>
  <si>
    <t>Is New Zealand doing all it can on climate change after yesterday’s Emission Reduction Plan? I wrote down my thoughts on the ERP for @TheSpinoffTV 
https://t.co/hCNCp7EVrD</t>
  </si>
  <si>
    <t>#Canada has unveiled a $9 billion “2030 emissions reduction plan” with several provisions aimed at lowering the country's emissions, including a plan to mandate 20% zero-emission new light-duty vehicle sales in 2026, rising to 60% by 2030 and 100% by 2035. @ChrisMinnsMP #NSW</t>
  </si>
  <si>
    <t>The Climate Forestry Association has argued #NZ will be unable to reach net zero if its bans exotics from its ETS, following the release of the govt's Emission Reduction Plan. 
_xD83D__xDDDE_️@CarbonPulse
https://t.co/vUzBOEHD3Y</t>
  </si>
  <si>
    <t>@Rebelwild41 @tvanouvelles Le non dit dans leur plan de réduction du carbone est que de détruire une partie ( la plus pauvre biensure) de la population avec l'inflation...tsé moins de monde=moins d'émission de carbone</t>
  </si>
  <si>
    <t>A “Carbon neutral by 2030” framework is what pushed Flagstaff to pursue CDR. If citizens had instead demanded specific % of emission reduction, how would the plan, and the way the city spent its $$ resources differ?</t>
  </si>
  <si>
    <t>The Soil Grab #Greenwashing by #Agribusiness. Carbon farming should not be national emission reduction plan, instead a vast #agroecology programme, land redistribution &amp;amp; re-localisation is needed to build carbon into soils &amp;amp; cut emissions in food system.
➡️https://t.co/7Q68qnL8Mm https://t.co/GhhICcrMM9</t>
  </si>
  <si>
    <t>Emission reduction plan: transport https://t.co/nwKAkeHPbu</t>
  </si>
  <si>
    <t>Dairy NZ CEO and climate expert on what's needed and expected from Emission Reduction Plan - https://t.co/2Kcituen9w https://t.co/Smw3a40Gq8</t>
  </si>
  <si>
    <t>The government's Emissions Reduction Plan aims to make 30% of light vehicles zero emission by 2035 and may also lead to high-emission vehicles facing penalties.
Don't wait, start transitioning your business vehicles to electric now: https://t.co/R1sPQfmUyE
#ev #electricvehicles</t>
  </si>
  <si>
    <t>It's brilliant that the government &amp;amp; opposition have agreed on an emission budget _xD83D__xDE4C_
There's lots of work to be done to achieve this &amp;amp; we look forward to the full Emissions Reduction Plan when it's released next week.
Stay tuned for our analysis...
https://t.co/0V9zvTqzyv</t>
  </si>
  <si>
    <t>dlrppn.ie</t>
  </si>
  <si>
    <t>unglobalcompact.org</t>
  </si>
  <si>
    <t>lawlerconsulting.com</t>
  </si>
  <si>
    <t>twitter.com</t>
  </si>
  <si>
    <t>govt.nz</t>
  </si>
  <si>
    <t>theguardian.com</t>
  </si>
  <si>
    <t>teaomaori.news</t>
  </si>
  <si>
    <t>carbon-pulse.com</t>
  </si>
  <si>
    <t>twn.my</t>
  </si>
  <si>
    <t>edairynews.com</t>
  </si>
  <si>
    <t>climateambition</t>
  </si>
  <si>
    <t>netzero ireland</t>
  </si>
  <si>
    <t>insiders auspol</t>
  </si>
  <si>
    <t>thread</t>
  </si>
  <si>
    <t>climateaction nzpol fun easy affordable popular</t>
  </si>
  <si>
    <t>breaking</t>
  </si>
  <si>
    <t>nzgovt emissionreduction wellingtonuni</t>
  </si>
  <si>
    <t>ev</t>
  </si>
  <si>
    <t>sustainableinfrastructure newzealand infrastructure</t>
  </si>
  <si>
    <t>nzpol</t>
  </si>
  <si>
    <t>canada nsw</t>
  </si>
  <si>
    <t>nz</t>
  </si>
  <si>
    <t>greenwashing agribusiness agroecology</t>
  </si>
  <si>
    <t>ev electricvehicles</t>
  </si>
  <si>
    <t>10:56:31</t>
  </si>
  <si>
    <t>11:29:24</t>
  </si>
  <si>
    <t>00:57:15</t>
  </si>
  <si>
    <t>08:53:07</t>
  </si>
  <si>
    <t>17:46:24</t>
  </si>
  <si>
    <t>09:39:12</t>
  </si>
  <si>
    <t>10:01:06</t>
  </si>
  <si>
    <t>13:51:33</t>
  </si>
  <si>
    <t>17:05:10</t>
  </si>
  <si>
    <t>18:49:48</t>
  </si>
  <si>
    <t>21:59:45</t>
  </si>
  <si>
    <t>02:55:42</t>
  </si>
  <si>
    <t>23:52:19</t>
  </si>
  <si>
    <t>23:50:11</t>
  </si>
  <si>
    <t>23:53:18</t>
  </si>
  <si>
    <t>12:59:53</t>
  </si>
  <si>
    <t>13:21:20</t>
  </si>
  <si>
    <t>13:58:29</t>
  </si>
  <si>
    <t>14:36:55</t>
  </si>
  <si>
    <t>04:59:54</t>
  </si>
  <si>
    <t>12:23:03</t>
  </si>
  <si>
    <t>18:52:11</t>
  </si>
  <si>
    <t>19:34:04</t>
  </si>
  <si>
    <t>19:52:46</t>
  </si>
  <si>
    <t>20:54:00</t>
  </si>
  <si>
    <t>21:47:59</t>
  </si>
  <si>
    <t>00:03:24</t>
  </si>
  <si>
    <t>00:12:06</t>
  </si>
  <si>
    <t>00:13:04</t>
  </si>
  <si>
    <t>00:03:21</t>
  </si>
  <si>
    <t>00:03:16</t>
  </si>
  <si>
    <t>00:08:20</t>
  </si>
  <si>
    <t>00:13:05</t>
  </si>
  <si>
    <t>00:35:20</t>
  </si>
  <si>
    <t>00:35:23</t>
  </si>
  <si>
    <t>00:35:58</t>
  </si>
  <si>
    <t>00:36:24</t>
  </si>
  <si>
    <t>01:08:32</t>
  </si>
  <si>
    <t>01:42:41</t>
  </si>
  <si>
    <t>02:03:39</t>
  </si>
  <si>
    <t>02:10:23</t>
  </si>
  <si>
    <t>02:14:32</t>
  </si>
  <si>
    <t>02:14:45</t>
  </si>
  <si>
    <t>02:16:52</t>
  </si>
  <si>
    <t>02:20:15</t>
  </si>
  <si>
    <t>02:34:36</t>
  </si>
  <si>
    <t>02:36:01</t>
  </si>
  <si>
    <t>23:20:00</t>
  </si>
  <si>
    <t>02:36:07</t>
  </si>
  <si>
    <t>02:39:34</t>
  </si>
  <si>
    <t>02:41:52</t>
  </si>
  <si>
    <t>02:43:28</t>
  </si>
  <si>
    <t>02:49:54</t>
  </si>
  <si>
    <t>02:54:11</t>
  </si>
  <si>
    <t>03:01:53</t>
  </si>
  <si>
    <t>03:03:23</t>
  </si>
  <si>
    <t>03:20:19</t>
  </si>
  <si>
    <t>03:26:39</t>
  </si>
  <si>
    <t>03:28:47</t>
  </si>
  <si>
    <t>03:32:12</t>
  </si>
  <si>
    <t>00:36:23</t>
  </si>
  <si>
    <t>03:46:01</t>
  </si>
  <si>
    <t>03:52:02</t>
  </si>
  <si>
    <t>03:59:34</t>
  </si>
  <si>
    <t>04:35:38</t>
  </si>
  <si>
    <t>19:43:56</t>
  </si>
  <si>
    <t>04:37:24</t>
  </si>
  <si>
    <t>05:12:23</t>
  </si>
  <si>
    <t>05:48:32</t>
  </si>
  <si>
    <t>06:00:16</t>
  </si>
  <si>
    <t>06:51:09</t>
  </si>
  <si>
    <t>09:23:29</t>
  </si>
  <si>
    <t>10:02:06</t>
  </si>
  <si>
    <t>17:56:32</t>
  </si>
  <si>
    <t>19:32:10</t>
  </si>
  <si>
    <t>20:29:48</t>
  </si>
  <si>
    <t>21:05:45</t>
  </si>
  <si>
    <t>21:05:59</t>
  </si>
  <si>
    <t>21:38:26</t>
  </si>
  <si>
    <t>05:38:03</t>
  </si>
  <si>
    <t>02:04:18</t>
  </si>
  <si>
    <t>03:13:02</t>
  </si>
  <si>
    <t>02:20:37</t>
  </si>
  <si>
    <t>03:21:34</t>
  </si>
  <si>
    <t>03:04:46</t>
  </si>
  <si>
    <t>03:27:43</t>
  </si>
  <si>
    <t>03:32:21</t>
  </si>
  <si>
    <t>00:07:49</t>
  </si>
  <si>
    <t>07:31:55</t>
  </si>
  <si>
    <t>02:08:57</t>
  </si>
  <si>
    <t>08:35:59</t>
  </si>
  <si>
    <t>08:52:28</t>
  </si>
  <si>
    <t>12:00:21</t>
  </si>
  <si>
    <t>00:34:23</t>
  </si>
  <si>
    <t>01:36:00</t>
  </si>
  <si>
    <t>18:59:34</t>
  </si>
  <si>
    <t>22:14:22</t>
  </si>
  <si>
    <t>23:50:25</t>
  </si>
  <si>
    <t>03:45:47</t>
  </si>
  <si>
    <t>21:28:47</t>
  </si>
  <si>
    <t>23:09:54</t>
  </si>
  <si>
    <t>00:54:11</t>
  </si>
  <si>
    <t>22:50:06</t>
  </si>
  <si>
    <t>1524342685351485442</t>
  </si>
  <si>
    <t>1524350960851640320</t>
  </si>
  <si>
    <t>1524554261027205120</t>
  </si>
  <si>
    <t>1524674016350728192</t>
  </si>
  <si>
    <t>1524808223693447168</t>
  </si>
  <si>
    <t>1525048001345073153</t>
  </si>
  <si>
    <t>1525053515269386241</t>
  </si>
  <si>
    <t>1525111510095339520</t>
  </si>
  <si>
    <t>1525160235521806336</t>
  </si>
  <si>
    <t>1525186567442006016</t>
  </si>
  <si>
    <t>1525234369430179840</t>
  </si>
  <si>
    <t>1525308847032012800</t>
  </si>
  <si>
    <t>1525625085037793281</t>
  </si>
  <si>
    <t>1525624545507700736</t>
  </si>
  <si>
    <t>1525625332803305473</t>
  </si>
  <si>
    <t>1525823281756098561</t>
  </si>
  <si>
    <t>1525828679259111424</t>
  </si>
  <si>
    <t>1525838028215812097</t>
  </si>
  <si>
    <t>1525847700712873984</t>
  </si>
  <si>
    <t>1490913253702045697</t>
  </si>
  <si>
    <t>1525814012985978882</t>
  </si>
  <si>
    <t>1525911941365272577</t>
  </si>
  <si>
    <t>1525922481651200000</t>
  </si>
  <si>
    <t>1525927189136416768</t>
  </si>
  <si>
    <t>1525942599303188480</t>
  </si>
  <si>
    <t>1525956182774382592</t>
  </si>
  <si>
    <t>1525990262207442944</t>
  </si>
  <si>
    <t>1525992452712083456</t>
  </si>
  <si>
    <t>1525992694610153473</t>
  </si>
  <si>
    <t>1525990247925919744</t>
  </si>
  <si>
    <t>1525990227004731393</t>
  </si>
  <si>
    <t>1525991502954250240</t>
  </si>
  <si>
    <t>1525992700360929280</t>
  </si>
  <si>
    <t>1525998297747718144</t>
  </si>
  <si>
    <t>1525998308589613057</t>
  </si>
  <si>
    <t>1525998457885904896</t>
  </si>
  <si>
    <t>1525998565830430721</t>
  </si>
  <si>
    <t>1526006651773657088</t>
  </si>
  <si>
    <t>1526015248591114240</t>
  </si>
  <si>
    <t>1526020522131456000</t>
  </si>
  <si>
    <t>1526022215971774464</t>
  </si>
  <si>
    <t>1526023260701618176</t>
  </si>
  <si>
    <t>1526023315441127426</t>
  </si>
  <si>
    <t>1526023850047131649</t>
  </si>
  <si>
    <t>1526024701117509632</t>
  </si>
  <si>
    <t>1526028313289863170</t>
  </si>
  <si>
    <t>1526028670636539907</t>
  </si>
  <si>
    <t>1525979338625060864</t>
  </si>
  <si>
    <t>1526028693390376961</t>
  </si>
  <si>
    <t>1526029563251134464</t>
  </si>
  <si>
    <t>1526030139834142720</t>
  </si>
  <si>
    <t>1526030542658887680</t>
  </si>
  <si>
    <t>1526032160829755392</t>
  </si>
  <si>
    <t>1526033238678196224</t>
  </si>
  <si>
    <t>1526035180120862720</t>
  </si>
  <si>
    <t>1526035555129389057</t>
  </si>
  <si>
    <t>1526039818245144576</t>
  </si>
  <si>
    <t>1526041409433632768</t>
  </si>
  <si>
    <t>1526041947466792960</t>
  </si>
  <si>
    <t>1526042809152962560</t>
  </si>
  <si>
    <t>1525998559879114753</t>
  </si>
  <si>
    <t>1526046284553293826</t>
  </si>
  <si>
    <t>1526047798105321472</t>
  </si>
  <si>
    <t>1526049695054778368</t>
  </si>
  <si>
    <t>1526058772975587328</t>
  </si>
  <si>
    <t>1525924965857787904</t>
  </si>
  <si>
    <t>1526059217471217666</t>
  </si>
  <si>
    <t>1526068021194006528</t>
  </si>
  <si>
    <t>1526077116651311104</t>
  </si>
  <si>
    <t>1526080070091444224</t>
  </si>
  <si>
    <t>1526092874445914112</t>
  </si>
  <si>
    <t>1526131210405449728</t>
  </si>
  <si>
    <t>1526140929274355712</t>
  </si>
  <si>
    <t>1526260324986257409</t>
  </si>
  <si>
    <t>1526284389373444096</t>
  </si>
  <si>
    <t>1526298895118381056</t>
  </si>
  <si>
    <t>1526307940432433152</t>
  </si>
  <si>
    <t>1526307999996059648</t>
  </si>
  <si>
    <t>1526316167056732160</t>
  </si>
  <si>
    <t>1526074478706708480</t>
  </si>
  <si>
    <t>1526383074397024256</t>
  </si>
  <si>
    <t>1526400374005207040</t>
  </si>
  <si>
    <t>1526024793392553986</t>
  </si>
  <si>
    <t>1526402521530372096</t>
  </si>
  <si>
    <t>1526398291532910597</t>
  </si>
  <si>
    <t>1526404068608200704</t>
  </si>
  <si>
    <t>1526405231504142336</t>
  </si>
  <si>
    <t>1526353762180550656</t>
  </si>
  <si>
    <t>1526465521134485510</t>
  </si>
  <si>
    <t>1526021856079511552</t>
  </si>
  <si>
    <t>1526481643485413377</t>
  </si>
  <si>
    <t>1526485792893284354</t>
  </si>
  <si>
    <t>1526533075987238912</t>
  </si>
  <si>
    <t>1525998057963200512</t>
  </si>
  <si>
    <t>1526013565223567360</t>
  </si>
  <si>
    <t>1526638573801607169</t>
  </si>
  <si>
    <t>1526687596675571712</t>
  </si>
  <si>
    <t>1526711769749540865</t>
  </si>
  <si>
    <t>1526771002604425216</t>
  </si>
  <si>
    <t>1527038515871363072</t>
  </si>
  <si>
    <t>1527063959697760256</t>
  </si>
  <si>
    <t>1527090204779368448</t>
  </si>
  <si>
    <t>1524159877140008960</t>
  </si>
  <si>
    <t>1525186565940473856</t>
  </si>
  <si>
    <t>1525233880139460609</t>
  </si>
  <si>
    <t>1526028165482967040</t>
  </si>
  <si>
    <t>1526079982535348224</t>
  </si>
  <si>
    <t>1526507511385313280</t>
  </si>
  <si>
    <t>1526711767123886080</t>
  </si>
  <si>
    <t>1253385421712535552</t>
  </si>
  <si>
    <t>1437080810</t>
  </si>
  <si>
    <t>613038344</t>
  </si>
  <si>
    <t>19370499</t>
  </si>
  <si>
    <t>1496291469782626304</t>
  </si>
  <si>
    <t>187560504</t>
  </si>
  <si>
    <t>fr</t>
  </si>
  <si>
    <t>1525109197192429568</t>
  </si>
  <si>
    <t>1526028961393745921</t>
  </si>
  <si>
    <t>1526091823403241472</t>
  </si>
  <si>
    <t>1526112420481351680</t>
  </si>
  <si>
    <t>1525989421895532544</t>
  </si>
  <si>
    <t>Twitter for Android</t>
  </si>
  <si>
    <t>Agorapulse app</t>
  </si>
  <si>
    <t>dlvr.it</t>
  </si>
  <si>
    <t>Twitter for iPad</t>
  </si>
  <si>
    <t>Twitter Media Studio - LiveCut</t>
  </si>
  <si>
    <t>Eco Promotions</t>
  </si>
  <si>
    <t>TweetDeck</t>
  </si>
  <si>
    <t>Sprout Social</t>
  </si>
  <si>
    <t>Tweetbot for iΟS</t>
  </si>
  <si>
    <t>The Global Dairy</t>
  </si>
  <si>
    <t>CoSchedule</t>
  </si>
  <si>
    <t>174.613267,-41.362455 
174.89541,-41.362455 
174.89541,-41.14354 
174.613267,-41.14354</t>
  </si>
  <si>
    <t>NZ</t>
  </si>
  <si>
    <t>Wellington City, New Zealand</t>
  </si>
  <si>
    <t>013b5456649606dc</t>
  </si>
  <si>
    <t>Wellington City</t>
  </si>
  <si>
    <t>city</t>
  </si>
  <si>
    <t>DLR PPN</t>
  </si>
  <si>
    <t>Cllr. Jim Gildea</t>
  </si>
  <si>
    <t>Richard Homewood</t>
  </si>
  <si>
    <t>James Shaw</t>
  </si>
  <si>
    <t>In Salutem</t>
  </si>
  <si>
    <t>The King of Bourgnew</t>
  </si>
  <si>
    <t>Global Compact Network South Africa</t>
  </si>
  <si>
    <t>Lawler Consulting</t>
  </si>
  <si>
    <t>Michael Polanyi</t>
  </si>
  <si>
    <t>IATA</t>
  </si>
  <si>
    <t>Stuff.co.nz Politics</t>
  </si>
  <si>
    <t>nivardo</t>
  </si>
  <si>
    <t>Anna Whyte</t>
  </si>
  <si>
    <t>David Williams</t>
  </si>
  <si>
    <t>Peggy Sanders</t>
  </si>
  <si>
    <t>Josh Frydenberg</t>
  </si>
  <si>
    <t>David Speers</t>
  </si>
  <si>
    <t>ABC News</t>
  </si>
  <si>
    <t>Lea Stevens</t>
  </si>
  <si>
    <t>Nathan Drake</t>
  </si>
  <si>
    <t>tolu ogunlesi</t>
  </si>
  <si>
    <t>Mr Presdent</t>
  </si>
  <si>
    <t>Muritala sanni</t>
  </si>
  <si>
    <t>SinceThe80s _xD83E__xDD85_</t>
  </si>
  <si>
    <t>thebayoakeem™_xD83C__xDDF3__xD83C__xDDEC__xD83C__xDDF0__xD83C__xDDF7_</t>
  </si>
  <si>
    <t>Tova O'Brien</t>
  </si>
  <si>
    <t>Andrea</t>
  </si>
  <si>
    <t>CyclingActionNetwork</t>
  </si>
  <si>
    <t>Patrick Morgan</t>
  </si>
  <si>
    <t>kathy Voyles</t>
  </si>
  <si>
    <t>Allan Taunt</t>
  </si>
  <si>
    <t>Newshub Politics</t>
  </si>
  <si>
    <t>Jamie Ensor</t>
  </si>
  <si>
    <t>Newshub Breaking</t>
  </si>
  <si>
    <t>Newshub</t>
  </si>
  <si>
    <t>Lindy Nichols</t>
  </si>
  <si>
    <t>Green Party NZ</t>
  </si>
  <si>
    <t>Thomas Nash</t>
  </si>
  <si>
    <t>Pearl</t>
  </si>
  <si>
    <t>Alison</t>
  </si>
  <si>
    <t>Andrew Frame</t>
  </si>
  <si>
    <t>Eugenie Sage</t>
  </si>
  <si>
    <t>Ko Ess au _xD83D__xDC89__xD83D__xDCA5__xD83E__xDD1C__xD83C__xDFFE__xD83E__xDDA0_#GetVaccinated</t>
  </si>
  <si>
    <t>John Macilree</t>
  </si>
  <si>
    <t>Sina Brown-Davis</t>
  </si>
  <si>
    <t>Climate Justice Taranaki</t>
  </si>
  <si>
    <t>Jenny Neligan</t>
  </si>
  <si>
    <t>Haylz</t>
  </si>
  <si>
    <t>Rise Up for Climate Justice - Aotearoa</t>
  </si>
  <si>
    <t>Peter Jamieson</t>
  </si>
  <si>
    <t>Russel Norman</t>
  </si>
  <si>
    <t>Brian Dixon _xD83D__xDC9A_ _xD83C__xDDFA__xD83C__xDDE6_</t>
  </si>
  <si>
    <t>Newstalk ZB</t>
  </si>
  <si>
    <t>Te Herenga Waka—Wellington Uni</t>
  </si>
  <si>
    <t>Idiot/Savant</t>
  </si>
  <si>
    <t>GPLNZ</t>
  </si>
  <si>
    <t>_xD83D__xDE9C_Paul McGill ☘_xD83D__xDC11__xD83C__xDF33__xD83D__xDC02__xD83C__xDF3E__xD83C__xDFCF__xD83C__xDF3D__xD83C__xDF32__xD83C__xDFC9__xD83C__xDFC7__xD83C__xDFFD__xD83E__xDD50__xD83E__xDD69__xD83C__xDF7B__xD83E__xDDF6__xD83C__xDFBE_♥️_xD83C__xDF0F_</t>
  </si>
  <si>
    <t>Gerald Piddock</t>
  </si>
  <si>
    <t>Nick Young</t>
  </si>
  <si>
    <t>Philli H</t>
  </si>
  <si>
    <t>Russell Brown</t>
  </si>
  <si>
    <t>Gary Ghostman _xD83C__xDDF5__xD83C__xDDF8_ _xD83C__xDDF5__xD83C__xDDF8_ _xD83C__xDDF5__xD83C__xDDF8_</t>
  </si>
  <si>
    <t>Wellington.Scoop</t>
  </si>
  <si>
    <t>Julie Anne Genter</t>
  </si>
  <si>
    <t>Hugh Anon _xD83C__xDDF5__xD83C__xDDF8__xD83C__xDDF5__xD83C__xDDF8__xD83C__xDDF5__xD83C__xDDF8_</t>
  </si>
  <si>
    <t>Tania Sawicki Mead</t>
  </si>
  <si>
    <t>Miss Whanau</t>
  </si>
  <si>
    <t>Mary Nash</t>
  </si>
  <si>
    <t>Auckland Stuff</t>
  </si>
  <si>
    <t>WinstonSmith.cashOnly</t>
  </si>
  <si>
    <t>Tim Jones</t>
  </si>
  <si>
    <t>TheNinetyNine%</t>
  </si>
  <si>
    <t>Anth W. _xD83C__xDF0F_</t>
  </si>
  <si>
    <t>Jessica de Heij</t>
  </si>
  <si>
    <t>Jessamine Fraser</t>
  </si>
  <si>
    <t>Conrow Conrow Conrow Conrow</t>
  </si>
  <si>
    <t>Simon Kingham</t>
  </si>
  <si>
    <t>Rachel Notley</t>
  </si>
  <si>
    <t>Jason Kenney _xD83C__xDDFA__xD83C__xDDE6_</t>
  </si>
  <si>
    <t>Steven Guilbeault</t>
  </si>
  <si>
    <t>Jacqueline Paul</t>
  </si>
  <si>
    <t>Māori Television</t>
  </si>
  <si>
    <t>Greg Presland</t>
  </si>
  <si>
    <t>Infrastructure Sustainability Council</t>
  </si>
  <si>
    <t>Central&amp;Western Southland Archive/GLAM Contractor</t>
  </si>
  <si>
    <t>jason brooke</t>
  </si>
  <si>
    <t>3ku1</t>
  </si>
  <si>
    <t>Jim Rose</t>
  </si>
  <si>
    <t>RNZ</t>
  </si>
  <si>
    <t>Behyad Jafari ⚡_xD83D__xDE98_</t>
  </si>
  <si>
    <t>Geoff Payne</t>
  </si>
  <si>
    <t>Lord Fusitu'a</t>
  </si>
  <si>
    <t>Ethan</t>
  </si>
  <si>
    <t>Gareth Hughes</t>
  </si>
  <si>
    <t>The Spinoff</t>
  </si>
  <si>
    <t>Wellbeing Economy Alliance - Aotearoa New Zealand</t>
  </si>
  <si>
    <t>Dr Debbie Wilson DHSc</t>
  </si>
  <si>
    <t>needleineyes</t>
  </si>
  <si>
    <t>Chris Minns</t>
  </si>
  <si>
    <t>Mark Tilly</t>
  </si>
  <si>
    <t>Carbon Pulse</t>
  </si>
  <si>
    <t>Maxine Gay</t>
  </si>
  <si>
    <t>Geneviève Labonté</t>
  </si>
  <si>
    <t>TVA nouvelles</t>
  </si>
  <si>
    <t>Rebelwild</t>
  </si>
  <si>
    <t>Emily Pontecorvo</t>
  </si>
  <si>
    <t>Third World Network</t>
  </si>
  <si>
    <t>vincent heeringa</t>
  </si>
  <si>
    <t>eDairy News.en</t>
  </si>
  <si>
    <t>Driving Insights NZ</t>
  </si>
  <si>
    <t>Toitū Envirocare</t>
  </si>
  <si>
    <t>2805326246</t>
  </si>
  <si>
    <t>2315579028</t>
  </si>
  <si>
    <t>759270824117411840</t>
  </si>
  <si>
    <t>31583101</t>
  </si>
  <si>
    <t>1311183942037327872</t>
  </si>
  <si>
    <t>234516291</t>
  </si>
  <si>
    <t>969393496753934336</t>
  </si>
  <si>
    <t>884810847608025088</t>
  </si>
  <si>
    <t>143885561</t>
  </si>
  <si>
    <t>27067896</t>
  </si>
  <si>
    <t>16415533</t>
  </si>
  <si>
    <t>216523486</t>
  </si>
  <si>
    <t>2943739141</t>
  </si>
  <si>
    <t>63942152</t>
  </si>
  <si>
    <t>46260680</t>
  </si>
  <si>
    <t>2768501</t>
  </si>
  <si>
    <t>58844857</t>
  </si>
  <si>
    <t>2449714469</t>
  </si>
  <si>
    <t>23584333</t>
  </si>
  <si>
    <t>1333414663695048704</t>
  </si>
  <si>
    <t>1015636580</t>
  </si>
  <si>
    <t>726844198540943361</t>
  </si>
  <si>
    <t>917167508301533184</t>
  </si>
  <si>
    <t>113540204</t>
  </si>
  <si>
    <t>126075164</t>
  </si>
  <si>
    <t>3174422112</t>
  </si>
  <si>
    <t>18263340</t>
  </si>
  <si>
    <t>222060976</t>
  </si>
  <si>
    <t>1081438603064926208</t>
  </si>
  <si>
    <t>141067352</t>
  </si>
  <si>
    <t>754861523399430144</t>
  </si>
  <si>
    <t>18294703</t>
  </si>
  <si>
    <t>309325348</t>
  </si>
  <si>
    <t>720377783415758853</t>
  </si>
  <si>
    <t>20424235</t>
  </si>
  <si>
    <t>19444677</t>
  </si>
  <si>
    <t>743354491274039296</t>
  </si>
  <si>
    <t>135337365</t>
  </si>
  <si>
    <t>36767607</t>
  </si>
  <si>
    <t>429452117</t>
  </si>
  <si>
    <t>1171620144</t>
  </si>
  <si>
    <t>11886562</t>
  </si>
  <si>
    <t>18541658</t>
  </si>
  <si>
    <t>1438825568883986433</t>
  </si>
  <si>
    <t>22557567</t>
  </si>
  <si>
    <t>517361186</t>
  </si>
  <si>
    <t>1434702400263131136</t>
  </si>
  <si>
    <t>1328151218787549184</t>
  </si>
  <si>
    <t>28008289</t>
  </si>
  <si>
    <t>25270260</t>
  </si>
  <si>
    <t>14589909</t>
  </si>
  <si>
    <t>218343330</t>
  </si>
  <si>
    <t>95790405</t>
  </si>
  <si>
    <t>2951421301</t>
  </si>
  <si>
    <t>1530354577</t>
  </si>
  <si>
    <t>106284796</t>
  </si>
  <si>
    <t>215736272</t>
  </si>
  <si>
    <t>18201787</t>
  </si>
  <si>
    <t>26188152</t>
  </si>
  <si>
    <t>30183820</t>
  </si>
  <si>
    <t>129943834</t>
  </si>
  <si>
    <t>63659830</t>
  </si>
  <si>
    <t>729498254195314688</t>
  </si>
  <si>
    <t>26971004</t>
  </si>
  <si>
    <t>851782023496613888</t>
  </si>
  <si>
    <t>339391138</t>
  </si>
  <si>
    <t>1174259254800371713</t>
  </si>
  <si>
    <t>20118846</t>
  </si>
  <si>
    <t>737952453388181509</t>
  </si>
  <si>
    <t>50415792</t>
  </si>
  <si>
    <t>140162038</t>
  </si>
  <si>
    <t>127023688</t>
  </si>
  <si>
    <t>1431635923</t>
  </si>
  <si>
    <t>1114260621283876867</t>
  </si>
  <si>
    <t>42836999</t>
  </si>
  <si>
    <t>21525682</t>
  </si>
  <si>
    <t>276713213</t>
  </si>
  <si>
    <t>41513557</t>
  </si>
  <si>
    <t>34174153</t>
  </si>
  <si>
    <t>28022560</t>
  </si>
  <si>
    <t>1227079747</t>
  </si>
  <si>
    <t>1068716815969280000</t>
  </si>
  <si>
    <t>1206038793322561537</t>
  </si>
  <si>
    <t>1295274878694641664</t>
  </si>
  <si>
    <t>1679568758</t>
  </si>
  <si>
    <t>42985637</t>
  </si>
  <si>
    <t>16753794</t>
  </si>
  <si>
    <t>983508625</t>
  </si>
  <si>
    <t>36624001</t>
  </si>
  <si>
    <t>1622171635</t>
  </si>
  <si>
    <t>118829680</t>
  </si>
  <si>
    <t>2783063791</t>
  </si>
  <si>
    <t>1519489867217915904</t>
  </si>
  <si>
    <t>2454667705</t>
  </si>
  <si>
    <t>1123237556496228354</t>
  </si>
  <si>
    <t>2227646515</t>
  </si>
  <si>
    <t>3343597518</t>
  </si>
  <si>
    <t>2613246072</t>
  </si>
  <si>
    <t>1948440548</t>
  </si>
  <si>
    <t>1518925672542085120</t>
  </si>
  <si>
    <t>85334007</t>
  </si>
  <si>
    <t>4316815947</t>
  </si>
  <si>
    <t>21179210</t>
  </si>
  <si>
    <t>51194804</t>
  </si>
  <si>
    <t>1505759050826657792</t>
  </si>
  <si>
    <t>73009226</t>
  </si>
  <si>
    <t>DLR PPN supports local community, environmental &amp; social inclusion groups to have a voice in local government.</t>
  </si>
  <si>
    <t>County Councillor, Killiney-Shankill ward DLR https://t.co/YXMbwXWeyL ordinary chap who enjoys social debate,rugby&amp;GAA.All views my own. https://t.co/ktNfp2W3aR.</t>
  </si>
  <si>
    <t>Bringing Utility Scale Solar to NZ _xD83C__xDF0E__xD83D__xDC4D_</t>
  </si>
  <si>
    <t>Minister of Climate Change, Associate Minister for the Environment (Biodiversity), MP &amp; @NZGreens Co-leader. Authorised by James Shaw, Parliament Buildings, WGN</t>
  </si>
  <si>
    <t>Every life is precious-pristine: they support your very life.</t>
  </si>
  <si>
    <t>The Bourgnewian Royalty listed with  'Richest of all time" as "Guardians of The Republic of Bourgnew" (BURG-NEW). Yahoo Reviewers gave us 100% approval rating.</t>
  </si>
  <si>
    <t>GCNSA is a multi-stakeholder platform working with companies on the SDGs &amp; the UNGC Principles on Human Rights, Labour Protection, Anti-Corruption &amp; Environment</t>
  </si>
  <si>
    <t>CIBSE Building Performance Consultancy 2020. We are a multi-disciplinary team of highly qualified Building Services Engineers with offices in Ireland &amp; the UK.</t>
  </si>
  <si>
    <t>He/Him. Parent. Settler. Policy and Campaign Manager at @NatureCanada. Tweets are my own views. #ClimateEmergency #Biodiversity #Nature</t>
  </si>
  <si>
    <t>The International Air Transport Association (IATA) is the global trade association of airlines. Our 290 members comprise 83% of total air traffic.</t>
  </si>
  <si>
    <t>New Zealand politics news, analysis and opinion from the http://t.co/DUxNqrPe team at Parliament. For all NZ news follow @NZStuff</t>
  </si>
  <si>
    <t>films, photography, design, music, nature, the sea, sustainability, housing, transportation, taekwondo, menswear, _xD83C__xDF31_ based lifestyle.</t>
  </si>
  <si>
    <t>Politics for @1NewsNZ. 
From Motueka.
Parliament Press Gallery journalist. 
anna.whyte@tvnz.co.nz</t>
  </si>
  <si>
    <t>Words @NewsroomNZ Thoughts @MyBrain trublenzOIA@protonmail.com</t>
  </si>
  <si>
    <t>Climate change believer with deep concerns for our children’s future.  Progressive political leanings believing in equality and social justice for all people.</t>
  </si>
  <si>
    <t>Treasurer, Deputy Leader of the Liberal Party, Federal Member for Kooyong.</t>
  </si>
  <si>
    <t>Host of Insiders. Posts / shares / likes are personal view. Do not represent views of ABC.</t>
  </si>
  <si>
    <t>Latest news updates (mostly automated) from the Australian Broadcasting Corp. This is an official @abcaustralia account.</t>
  </si>
  <si>
    <t>Level-headed and usually kind Scorpio, can be obsessive and may hurt you when offended or provoked so be aware and cautious...I was born under the WARNING sign.</t>
  </si>
  <si>
    <t>The only thing I know is that I know nothing #Mufc</t>
  </si>
  <si>
    <t>Special Assistant to President Buhari on Digital and New Media | 2021 Fellow, @french_african</t>
  </si>
  <si>
    <t>God Bless Nigeria My County _xD83D__xDE4F_</t>
  </si>
  <si>
    <t>21 November
legal practitioner, theatre producer and human resource consultant</t>
  </si>
  <si>
    <t>The money is already printed, you just have to go get it..! https://t.co/AtkIZfksJA Ecology, ATBU Bauchi.</t>
  </si>
  <si>
    <t>Full-Time Graduate Research Student - Reliability Engineer - Facility Manager - Freelancer - Visca Barca - Gamer - Cat Lover - Self Partnered</t>
  </si>
  <si>
    <t>Today FM Host</t>
  </si>
  <si>
    <t>Featuring the most stunning eco friendly items on the planet: fine art, furniture, jewelry &amp; apparel.Connecting ecological &amp; innovative artists worldwide.</t>
  </si>
  <si>
    <t>More people on bikes, more often.</t>
  </si>
  <si>
    <t>Bicycling advocate in New Zealand. Believes we are all better off when more people ride, more often.</t>
  </si>
  <si>
    <t>Waiheke rescue food activist keen to deal with food waste, work on food security, teach cooking &amp; composting! it’s all about kindness!</t>
  </si>
  <si>
    <t>Always looking for ways to help create stronger communities and improve the environment. _xD83C__xDF3F__xD83E__xDD8E__xD83D__xDEB2__xD83C__xDF0F_ (&amp; _xD83D__xDC89__xD83D__xDC89__xD83D__xDC89_)</t>
  </si>
  <si>
    <t>A feed of #Newshub's latest politics headlines. Got a story tip or feedback? Email news@newshub.co.nz.</t>
  </si>
  <si>
    <t>Politics, breaking news reporter @NewshubNZ. | jamie_ensor@discovery.com | All opinions are my own</t>
  </si>
  <si>
    <t>Your breaking news now.</t>
  </si>
  <si>
    <t>Welcome to the official Twitter account for New Zealand's #Newshub! Here you will find a feed of our latest website headlines.</t>
  </si>
  <si>
    <t>Being me x</t>
  </si>
  <si>
    <t>Green Party of Aotearoa New Zealand. Authorised by Miriam Ross, Level 1 / 17 Garrett Street, Wellington.</t>
  </si>
  <si>
    <t>Regional Councillor and Climate Committee Chair for Te Pane Matua Taiao @greaterwgtn. Co-Director @nzalternative.</t>
  </si>
  <si>
    <t>Current staffer. Former political journalist @NewshubNationNZ and bookseller at Jason Books. @95bfm alum.</t>
  </si>
  <si>
    <t>Press Sec for @nzgreens _xD83D__xDC9A_ Taught English in Japan. Opinions are my own. She/Her. Actively Bisexual _xD83C__xDFF3_️‍_xD83C__xDF08_ | Unrepentant Anti-Capitalist.</t>
  </si>
  <si>
    <t>Dad, Husband, Writer, Local Issues Commentator, Cricketer, Umpire, Office Worker, BayBuzz Columnist, Champion of all things Hawke's Bay. Napier, New Zealand.</t>
  </si>
  <si>
    <t>Green MP based in Otautahi/Christchurch. Likes liveable cities &amp; wild places. Authorised by Eugenie Sage, Parliament Buildings, Wellington</t>
  </si>
  <si>
    <t>Eclectic posts re: building community, eLearning, education, financial capability &amp; business.</t>
  </si>
  <si>
    <t>Transport researcher interested in aviation &amp; transport technology. Past President of @aerospacenz Live with wife Wendy &amp; 2 poodles. RT ≠ endorsement. 317.72ppm</t>
  </si>
  <si>
    <t>Te Roroa, Te Uri-o-Hau, Ngāti Whātua-whānui, 
Fale Ula, Neiafu, VaVa'u
Anti Fascist she/her/ia</t>
  </si>
  <si>
    <t>Climate Justice Taranaki is a community group dedicated to justice, education, resistance and positive action at the front lines of climate change.</t>
  </si>
  <si>
    <t>Contemporary art dealer representing artists here and in Australia</t>
  </si>
  <si>
    <t>She/Her; Te Rarawa ki Pukepoto, Te Popoto ki Utakura; Writer; Māori Public Health; Exploring Māori food systems; Indig. sovereignty always all ways</t>
  </si>
  <si>
    <t>Rise Up for Climate Justice to halt global warming and transition to a regenerative, socially just world for all!</t>
  </si>
  <si>
    <t>If you don't know me you don't need to know.</t>
  </si>
  <si>
    <t>Executive Director at @GreenpeaceNZ. Tweets are my personal views.</t>
  </si>
  <si>
    <t>Clinical psychologist; pro environment &amp; social justice. Home is both Otago &amp; Kuaotunu/Coromandel, Aotearoa. #ClimatePsychology #ClimateAction Supporting  _xD83C__xDDFA__xD83C__xDDE6_</t>
  </si>
  <si>
    <t>Newstalk ZB is New Zealand's premier news and information radio station.</t>
  </si>
  <si>
    <t>The official Twitter account for Te Herenga Waka—Victoria University of Wellington, New Zealand’s globally ranked capital city university.</t>
  </si>
  <si>
    <t>New Zealand's liberal blog. 
AE1C 445F 7A5E CAAF DA11 3CAE 7C56 FCD4 C60A A494</t>
  </si>
  <si>
    <t>The Greyhound Protection League of New Zealand.
Reckless breeding, preventable injuries, relentless culling. Greyhound racing is inhumane entertainment.</t>
  </si>
  <si>
    <t>Live in Wellington, NZ. Work in rural NZ supporting food &amp; fibre producers, &amp; their communities. 2010 NZ Nuffield Scholar. Views are my own.</t>
  </si>
  <si>
    <t>Hamilton- based reporter for NZ Farmers Weeklyand Dairy Farmer.</t>
  </si>
  <si>
    <t>Head of communications at Greenpeace Aotearoa - @GreenpeaceNZ
nick.young@greenpeace.org | 021-707-727</t>
  </si>
  <si>
    <t>Sheep and Olive farmer,grape grower,children's and YA writer and most importantly swim coach for special needs.Budding Agroecologist in Aotearoa/New Zealand.</t>
  </si>
  <si>
    <t>I'm a journalist.
PressPatron supporter link: https://t.co/pPsyJBSyRX</t>
  </si>
  <si>
    <t>No peace for PEPs</t>
  </si>
  <si>
    <t>Lindsay Shelton edits https://t.co/7EEwQYSj6N which offers undiluted news and free-ranging independent opinion (and comments) about New Zealand's capital city.</t>
  </si>
  <si>
    <t>MP for the Green Party of Aotearoa NZ. I’m into lively streets, real food, and bicycles. Auth by J Genter, Parlt Buildings, WLG</t>
  </si>
  <si>
    <t>No sympathy for landlords</t>
  </si>
  <si>
    <t>Tweeting personal views and stale memes since 2016. She/her</t>
  </si>
  <si>
    <t>Here to create a more connected, compassionate and equal Wellington. Authorised by Tory Whanau, 4 Elizabeth Street, Wellington.</t>
  </si>
  <si>
    <t>Grandmother, three fantastic children, Gardener. Into social justice and Green politics.</t>
  </si>
  <si>
    <t>News, sport, entertainment and more from https://t.co/RLJCWN75Xz - all you need to know about what's happening in the city.</t>
  </si>
  <si>
    <t>Social Engineer _xD83D__xDC77_ He/him. Mostly #nzpol and #crypto criticism. #Bitcoin is the information super-highway to hell. Emoji collection: _xD83C__xDF39__xD83D__xDC89__xD83D__xDC89__xD83C__xDF37__xD83E__xDD89__xD83D__xDDA5_️_xD83D__xDC27__xD83D__xDC1D__xD83D__xDCE1__xD83D__xDEF0_️_xD83C__xDF3B_</t>
  </si>
  <si>
    <t>Writer. Latest book: climate fiction novella "Where We Land" - link below. Climate justice &amp; environmental activist. Cricket fan. Unexpected metalhead. He/him.</t>
  </si>
  <si>
    <t>Leftwing Observer/commentator - Armchair Revolutionary - For the 99% and not the 1% - Modern Economics not Austerity - Atheist and Skeptic</t>
  </si>
  <si>
    <t>Gen Y Social change advocate  | 
Talks: Justice, Health, Data, Social &amp; Intl. Affairs | 
Adventurer _xD83C__xDF0F_ | Gardener _xD83C__xDF31_ | Australian/Spanish | RTs ≠ End.</t>
  </si>
  <si>
    <t>Marketing / Communications for Big Street Bikers | Urbanism | Sustainability | Auckland _xD83C__xDDF3__xD83C__xDDF1__xD83C__xDDF3__xD83C__xDDFF_ |</t>
  </si>
  <si>
    <t>Architect, environmentalist &amp; public/social housing advocate. she/her</t>
  </si>
  <si>
    <t>Lecturer|Pūkenga @ University of Canterbury, Aotearoa NZ \ PhD Geography \ transport, wellbeing, crowdsourced data, bikes, birds_xD83C__xDF08_ ‘opinions are my own’</t>
  </si>
  <si>
    <t>Chief Science Advisor, Ministry of Transport, Wellington, NZ.
Professor of Geography, Uni of Canterbury, Christchurch.
Tweets are not endorsements of content.</t>
  </si>
  <si>
    <t>Albertan. Mom to children &amp; dogs. Wife. Friend. Leader of Alberta's NDP. Account run by Rachel Notley and staff. She/Her #ableg</t>
  </si>
  <si>
    <t>Premier of Alberta. Focused on economic recovery and building a strong Alberta.</t>
  </si>
  <si>
    <t>Député libéral Laurier-Sainte-Marie | Ministre de l’Environnement et du Changement Climatique / Minister of Environment and Climate Change | Fier Papa | Il/lui</t>
  </si>
  <si>
    <t>Māori ✊_xD83C__xDFFE_❤️_xD83D__xDDA4_ Architecture (land) and Planning _xD83C__xDFD9_ Lecturer: @unitecnz @autuni, Housing Researcher @ngawaiatetui @buildbetternz _xD83C__xDFE1_ _xD83D__xDCE9_: jpaul@unitec.ac.nz</t>
  </si>
  <si>
    <t>Dedicated to revitalising Māori language and culture.</t>
  </si>
  <si>
    <t>Deputy Chair Waitakere Ranges Local Board, lawyer, Labour Party activist and westie and member of the #Waitakerati</t>
  </si>
  <si>
    <t>The Infrastructure Sustainability Council is committed to advancing sustainability in infrastructure planning, procurement, delivery and operation.</t>
  </si>
  <si>
    <t>#Archivist #Historian #Researcher #Genealogist #Museums #Ōtautau #SouthWestern #Murihiku #GLAM 5th gen NZ Settler #SocialJustice #AbortionIsHealthcare #GetVaxed</t>
  </si>
  <si>
    <t>tree-hugging tauiwi. health worker. decarbonise, decolonise, decentralise. E mihi ana ki ngā mana whenua. _xD83C__xDF31_</t>
  </si>
  <si>
    <t>Hey Twitter has only 140 characters. Love my TV. Breaking Bad GOAT. Big Adam Lambert fan underrated. Politically centre left.</t>
  </si>
  <si>
    <t>We are NZ's public broadcaster - comprehensive NZ news (@rnz_news) &amp; current affairs, audio features &amp; documentaries.</t>
  </si>
  <si>
    <t>CEO of @EVCouncil the national body representing the electric vehicle industry in Australia.  ⚡_xD83D__xDE98_</t>
  </si>
  <si>
    <t>Interests: Politics (Left Winger), Collecting Australian Civil &amp; Military Aviation Books &amp; Ephemera</t>
  </si>
  <si>
    <t>Chairman,@GOPAC_Eng (Oceania),Chairman, @CommonwealthSec Pacific Parliamentary Group On Human Rights, Former MP Tonga,_xD83C__xDDF9__xD83C__xDDF4_ #Bitcoin Toxic Maxi Bull</t>
  </si>
  <si>
    <t>Writer, campaigner, sailor and a believer in a better world. Wellbeing Economy Alliance NZ lead, Chairperson SAFE &amp; former Green MP based in Ōtepoti. He/Him</t>
  </si>
  <si>
    <t>Aotearoa published daily</t>
  </si>
  <si>
    <t>WEAll is a collaboration of organisations, alliances, movements and individuals working towards a wellbeing economy, delivering human and ecological wellbeing.</t>
  </si>
  <si>
    <t>Healthcare sustainability lead, Doctorate @AUTuni. Tweets- my views about- climate change, low carbon healthcare, sustainability, regeneration/health.</t>
  </si>
  <si>
    <t>Needle In My Eyes</t>
  </si>
  <si>
    <t>Husband to Anna. Dad to Joe, Nick and George. Leader of NSW Labor and Member for Kogarah</t>
  </si>
  <si>
    <t>Aus, NZ, VCM reporter at @CarbonPulse. Formerly at @EnergyNewsAu. Bylines at @LowyInstitute, @crikey_news, @asiasentinel. Tips to mark@carbon-pulse.com</t>
  </si>
  <si>
    <t>News and intelligence on carbon markets, greenhouse gas pricing, and climate policy.</t>
  </si>
  <si>
    <t>Unionist; SocialistFeminist; Justice Advocate. We/us. Pers: maxine@rednest.nz</t>
  </si>
  <si>
    <t>À la télé, sur votre ordinateur ou votre appareil mobile, TVA Nouvelles est LA référence au Québec pour ne rien manquer de l'actualité. https://t.co/DjZ7k6bnOG</t>
  </si>
  <si>
    <t>Vaut mieux mourir debout que de vivre à genoux! Mes convictions n’ont pas de prix. Pro-choix, libertarien, rationnel, de droite et capable de réfléchir.</t>
  </si>
  <si>
    <t>reporter @grist | energy, environment, climate | previously @WHYY @mit_sciwrite (she/her)</t>
  </si>
  <si>
    <t>For a greater articulation of the needs, aspirations and rights of the peoples in the South and in promoting just, equitable and ecological development.</t>
  </si>
  <si>
    <t>Business, science, innovation, faith, home - and not in that order</t>
  </si>
  <si>
    <t>eDairy News is the most visited dairy news website in the world. _xD83D__xDC2E__xD83E__xDD5B_. 
Follow us on @eDairyNewsEs (Spanish) - @eDairyNewsBr (Portuguese).</t>
  </si>
  <si>
    <t>Driving Insights NZ is part of LeasePlan / SG Fleet - Australasia’s leading fleet and vehicle management company.</t>
  </si>
  <si>
    <t>Toitū Envirocare leads businesses to sustain our environment and economy with credible environmental certification.</t>
  </si>
  <si>
    <t>Dún Laoghaire-Rathdown</t>
  </si>
  <si>
    <t>@jimgildea2014</t>
  </si>
  <si>
    <t>Te Whanganui-a-Tara, Aotearoa</t>
  </si>
  <si>
    <t>Mundi Salutem</t>
  </si>
  <si>
    <t>Bourgnew, Europe</t>
  </si>
  <si>
    <t>Johannesburg</t>
  </si>
  <si>
    <t>Kilkenny, Ireland</t>
  </si>
  <si>
    <t>Toronto, Ontario</t>
  </si>
  <si>
    <t>Geneva and Montreal</t>
  </si>
  <si>
    <t>Encinitas, CA</t>
  </si>
  <si>
    <t>Authorised J. Frydenberg MP, Liberal Party, Camberwell, VIC</t>
  </si>
  <si>
    <t>Canberra, Australia</t>
  </si>
  <si>
    <t>Melbourne, Victoria</t>
  </si>
  <si>
    <t>Lagos, Nigeria</t>
  </si>
  <si>
    <t>Lagos/Abuja [Nigeria]</t>
  </si>
  <si>
    <t>Kano, Nigeria</t>
  </si>
  <si>
    <t>Lagos</t>
  </si>
  <si>
    <t>Gumi-si, Republic of Korea</t>
  </si>
  <si>
    <t>Auckland, New Zealand</t>
  </si>
  <si>
    <t>USA</t>
  </si>
  <si>
    <t>Waiheke Island, Auckland</t>
  </si>
  <si>
    <t>Christchurch City, New Zealand</t>
  </si>
  <si>
    <t>Aotearoa New Zealand</t>
  </si>
  <si>
    <t>Pōneke Wellington</t>
  </si>
  <si>
    <t>Wellington, New Zealand</t>
  </si>
  <si>
    <t>Te Whanga-nui-a-Tara, Aotearoa</t>
  </si>
  <si>
    <t>Napier, New Zealand</t>
  </si>
  <si>
    <t>Whangarei, New Zealand</t>
  </si>
  <si>
    <t>Ōtepoti</t>
  </si>
  <si>
    <t>Wellington</t>
  </si>
  <si>
    <t>Auckland City, New Zealand</t>
  </si>
  <si>
    <t>Ōtepoti Dunedin, Aotearoa/N.Z.</t>
  </si>
  <si>
    <t>Wellington, Aotearoa NZ</t>
  </si>
  <si>
    <t>Waikato Region, New Zealand</t>
  </si>
  <si>
    <t>Auckland</t>
  </si>
  <si>
    <t>Aotearoa</t>
  </si>
  <si>
    <t>Poneke, Aotearoa</t>
  </si>
  <si>
    <t>Palmerston North City</t>
  </si>
  <si>
    <t>Aotearoa / New Zealand</t>
  </si>
  <si>
    <t>Aotearoa/New Zealand</t>
  </si>
  <si>
    <t>Northland Region, New Zealand</t>
  </si>
  <si>
    <t>Melbourne Australia  _xD83C__xDDE6__xD83C__xDDFA_</t>
  </si>
  <si>
    <t>Edmonton</t>
  </si>
  <si>
    <t>Alberta, Canada</t>
  </si>
  <si>
    <t>Montréal, Québec</t>
  </si>
  <si>
    <t>Aotearoa, New Zealand</t>
  </si>
  <si>
    <t>Murihiku Southland, AotearoaNZ</t>
  </si>
  <si>
    <t>Auckland, Aotearoa.</t>
  </si>
  <si>
    <t>Wanganui District, New Zealand</t>
  </si>
  <si>
    <t>Wellington New Zealand</t>
  </si>
  <si>
    <t>Sydney, Australia</t>
  </si>
  <si>
    <t xml:space="preserve">Central Victoria, Australia </t>
  </si>
  <si>
    <t>Nuku’alofa, Tonga</t>
  </si>
  <si>
    <t>Hamilton City, New Zealand</t>
  </si>
  <si>
    <t xml:space="preserve">Aotearoa New Zealand </t>
  </si>
  <si>
    <t>Kogarah, NSW</t>
  </si>
  <si>
    <t>Worldwide</t>
  </si>
  <si>
    <t>South Auckland, New Zealand</t>
  </si>
  <si>
    <t>Partout au Québec</t>
  </si>
  <si>
    <t>Saint-Félicien, Québec</t>
  </si>
  <si>
    <t>Global South</t>
  </si>
  <si>
    <t>dlrppn
Invitation - The launch of the results
of the Dublin Region Energy Master
Plan on Wednesday, 1st June at
11am. This Plan provides realistic,
evidence-based pathways for the
Dublin Region to achieve its carbon
emission reduction targets to 2030
and 2050. https://t.co/wpK1zMhF26
https://t.co/knTvOECJKA</t>
  </si>
  <si>
    <t>jimgildea2014
Invitation - The launch of the results
of the Dublin Region Energy Master
Plan on Wednesday, 1st June at
11am. This Plan provides realistic,
evidence-based pathways for the
Dublin Region to achieve its carbon
emission reduction targets to 2030
and 2050. https://t.co/wpK1zMhF26
https://t.co/knTvOECJKA</t>
  </si>
  <si>
    <t>rich_homewood
Today FNSF announced a partnership
with Aquila Capital to build 1GW
of solar across New Zealand! This
will be a major boost to the upcoming
Emission Reduction Plan to be announced
by @jamespeshaw on May 16th! The
time for change is now! _xD83D__xDCAA_☀️ https://t.co/ljiyaOSaz9</t>
  </si>
  <si>
    <t xml:space="preserve">jamespeshaw
</t>
  </si>
  <si>
    <t>isalutem
Today FNSF announced a partnership
with Aquila Capital to build 1GW
of solar across New Zealand! This
will be a major boost to the upcoming
Emission Reduction Plan to be announced
by @jamespeshaw on May 16th! The
time for change is now! _xD83D__xDCAA_☀️ https://t.co/ljiyaOSaz9</t>
  </si>
  <si>
    <t>matthewprimous
Integrity Intrigue Innovation Inc.
investment at work: Jet Token Inc.
authorizes Carbon Emissions Reduction
plan with Terrapass. HondaJet Elite
S is highly efficient, and business
aviation overall only represents
0.2% of global greenhouse gas emissions,
every emission counts.</t>
  </si>
  <si>
    <t>globalcompactsa
Registrations close today for our
#ClimateAmbition Accelerator. Join
companies on this six-month journey
that motivates investors, leadership,
employees &amp;amp; shareholders with
an emission reduction plan that
sets your organization apart in
the market. Join: https://t.co/76yaZF2b7N
https://t.co/e7FDKDU0ca</t>
  </si>
  <si>
    <t>lawler_consult
Ireland has recently launched its
Climate Action Plan which has legally
committed to achieving a net-zero
greenhouse gas emission target
by no later than 2050 and an overall
reduction of 51% by 2030. Learn
how you can achieve this here:
https://t.co/H5AGH5ggCY #netzero
#ireland https://t.co/Jc3rh1azzf</t>
  </si>
  <si>
    <t>michaelpolanyi
Why does @IATA recognize the importance
of reducing GHG emissions by 2030,
yet refuse to include a 2030 emission
reduction target in its Fly Net
Zero plan? https://t.co/ght5uLjFcX</t>
  </si>
  <si>
    <t xml:space="preserve">iata
</t>
  </si>
  <si>
    <t>nzstuffpolitics
OPINION: The new plan will lay
out how New Zealand plans to cut
carbon - but the ensuing debate
will show just how much cash-strapped
voters prioritise it. https://t.co/qlYJWUCQDy</t>
  </si>
  <si>
    <t>falconseaknight
“The plan calls for building the
equivalent of at least 33 new large
gas power plants, according to
estimates from Sierra Club California,
and ‘relies on expensive and unproven
technology’ in the form of carbon
capture and sequestration to meet
its emission reduction targets.”</t>
  </si>
  <si>
    <t>annacwhyte
She'll be missing a big week in
Parliament. We've got the emission
reduction plan on Monday and Budget
2022 on Thursday. https://t.co/MmKs9joMZy</t>
  </si>
  <si>
    <t>ddub_news
"If it ends up with a muddle of
plans that are neither fish nor
fowl – or ropey industry support
dressed up as climate policy –
and which won't cut emissions by
much, it may find itself under
serious pressure from all sides."
https://t.co/ZTrdSmuA0W</t>
  </si>
  <si>
    <t>peggymel2001
"What is most important is not
a target, but the plan." @David_Speers
asks @JoshFrydenberg why the Liberal
Party won't move on a 2030 emission
reduction target #Insiders #auspol
https://t.co/oIFFCHmbI1</t>
  </si>
  <si>
    <t xml:space="preserve">joshfrydenberg
</t>
  </si>
  <si>
    <t xml:space="preserve">david_speers
</t>
  </si>
  <si>
    <t>abcnews
"What is most important is not
a target, but the plan." @David_Speers
asks @JoshFrydenberg why the Liberal
Party won't move on a 2030 emission
reduction target #Insiders #auspol
https://t.co/oIFFCHmbI1</t>
  </si>
  <si>
    <t>zazava
"What is most important is not
a target, but the plan." @David_Speers
asks @JoshFrydenberg why the Liberal
Party won't move on a 2030 emission
reduction target #Insiders #auspol
https://t.co/oIFFCHmbI1</t>
  </si>
  <si>
    <t>babahererra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</si>
  <si>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toluogunlesi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</si>
  <si>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imam_president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</si>
  <si>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muribond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</si>
  <si>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waziriey17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</si>
  <si>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sololurd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</si>
  <si>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tovaobrien
Happy Monday from TOVA! 8am Russel
Norman on Greenpeace’s emission
reduction plan wishlist 8.09 Fed
Farmers on what the plan will mean
for them 8.19 Health strike 8.32
And got no money? Learn how to
change everything from a top financial
reporter who taught herself how
to budget</t>
  </si>
  <si>
    <t>eco1start
Emission Reduction Plan @CyclingActionNZ
#ClimateAction #nzpol #fun #easy
#affordable #popular https://t.co/lg9AqHKlaz</t>
  </si>
  <si>
    <t xml:space="preserve">cyclingactionnz
</t>
  </si>
  <si>
    <t>patrickmorgan
Useful analysis of today's Emission
Reduction Plan - is it glass half
full or half empty? @CyclingActionNZ
https://t.co/xQhxixce2y</t>
  </si>
  <si>
    <t>urbantui
Emission Reduction Plan @CyclingActionNZ
#ClimateAction #nzpol #fun #easy
#affordable #popular https://t.co/lg9AqHKlaz</t>
  </si>
  <si>
    <t>allantaunt
Emission Reduction Plan @CyclingActionNZ
#ClimateAction #nzpol #fun #easy
#affordable #popular https://t.co/lg9AqHKlaz</t>
  </si>
  <si>
    <t>newshubpolitics
Support for Kiwis to purchase,
lease low-emission vehicles: Transport
takes 'leading role' climate plan
https://t.co/6MZ8VXaqut</t>
  </si>
  <si>
    <t>jamieensor
#BREAKING: Support for Kiwis to
purchase, lease low-emission vehicles
- how transport's taking 'leading
role' in NZ's emissions plan https://t.co/MU7KzEfoiq
(Via @JamieEnsor)</t>
  </si>
  <si>
    <t>newshubbreaking
#BREAKING: Support for Kiwis to
purchase, lease low-emission vehicles
- how transport's taking 'leading
role' in NZ's emissions plan https://t.co/MU7KzEfoiq
(Via @JamieEnsor)</t>
  </si>
  <si>
    <t>newshubnz
Support for Kiwis to purchase,
lease low-emission vehicles: Transport
takes 'leading role' climate plan
https://t.co/6MZ8VXaqut</t>
  </si>
  <si>
    <t>nichols_lindy
#BREAKING: Support for Kiwis to
purchase, lease low-emission vehicles
- how transport's taking 'leading
role' in NZ's emissions plan https://t.co/MU7KzEfoiq
(Via @JamieEnsor)</t>
  </si>
  <si>
    <t>nzgreens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</si>
  <si>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nashthomas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</si>
  <si>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pearlwendyl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</si>
  <si>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alisondesu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</si>
  <si>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napierinframe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</si>
  <si>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eugeniesage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</si>
  <si>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essigna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</si>
  <si>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macilree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</si>
  <si>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uriohau
We are still finalising our response
to today's Emission Reduction Plan.
But it will be something like "grrrrr
aargh" or "aargh grrrrr" or words
to that effect. $710m subsidy to
agriculture instead of cow reductions
- and farmers don't even pay into
the ETS!</t>
  </si>
  <si>
    <t>climatejusticet
We are still finalising our response
to today's Emission Reduction Plan.
But it will be something like "grrrrr
aargh" or "aargh grrrrr" or words
to that effect. $710m subsidy to
agriculture instead of cow reductions
- and farmers don't even pay into
the ETS!</t>
  </si>
  <si>
    <t>jennyneligan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</si>
  <si>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haylskoroi
We are still finalising our response
to today's Emission Reduction Plan.
But it will be something like "grrrrr
aargh" or "aargh grrrrr" or words
to that effect. $710m subsidy to
agriculture instead of cow reductions
- and farmers don't even pay into
the ETS!</t>
  </si>
  <si>
    <t>riseup4cja
We are still finalising our response
to today's Emission Reduction Plan.
But it will be something like "grrrrr
aargh" or "aargh grrrrr" or words
to that effect. $710m subsidy to
agriculture instead of cow reductions
- and farmers don't even pay into
the ETS!</t>
  </si>
  <si>
    <t>peterja27056176
We are still finalising our response
to today's Emission Reduction Plan.
But it will be something like "grrrrr
aargh" or "aargh grrrrr" or words
to that effect. $710m subsidy to
agriculture instead of cow reductions
- and farmers don't even pay into
the ETS!</t>
  </si>
  <si>
    <t>russelnorman
We are still finalising our response
to today's Emission Reduction Plan.
But it will be something like "grrrrr
aargh" or "aargh grrrrr" or words
to that effect. $710m subsidy to
agriculture instead of cow reductions
- and farmers don't even pay into
the ETS!</t>
  </si>
  <si>
    <t>brianborunz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</si>
  <si>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newstalkzb
Dairy NZ CEO and climate expert
on what's needed and expected from
Emission Reduction Plan https://t.co/Fbue9SCuG7</t>
  </si>
  <si>
    <t>wellingtonuni
Prior to the #nzgovt's release
of the #EmissionReduction Plan,
#WellingtonUni's Adjunct Professor
at the New Zealand Climate Change
Research Institute Dr Adrian Macey
tells @newstalkzb what to expect
top priority issues to be https://t.co/GNlJwAxx56</t>
  </si>
  <si>
    <t>norightturnnz
We are still finalising our response
to today's Emission Reduction Plan.
But it will be something like "grrrrr
aargh" or "aargh grrrrr" or words
to that effect. $710m subsidy to
agriculture instead of cow reductions
- and farmers don't even pay into
the ETS!</t>
  </si>
  <si>
    <t>gplnz
We are still finalising our response
to today's Emission Reduction Plan.
But it will be something like "grrrrr
aargh" or "aargh grrrrr" or words
to that effect. $710m subsidy to
agriculture instead of cow reductions
- and farmers don't even pay into
the ETS!</t>
  </si>
  <si>
    <t>paulbmcgill
@GeraldPiddock _xD83E__xDD37_‍♂️as above, and
adding to it all? My view is the
sector doesn’t have a plan. It
doesn’t even come out in the emission
reduction release stuff today?
So we just have more and more.
Aldo HWEN want to be an entity
around it all too. So another one
there too potentially</t>
  </si>
  <si>
    <t xml:space="preserve">geraldpiddock
</t>
  </si>
  <si>
    <t>nickofnz
We are still finalising our response
to today's Emission Reduction Plan.
But it will be something like "grrrrr
aargh" or "aargh grrrrr" or words
to that effect. $710m subsidy to
agriculture instead of cow reductions
- and farmers don't even pay into
the ETS!</t>
  </si>
  <si>
    <t>olivefarmer
We are still finalising our response
to today's Emission Reduction Plan.
But it will be something like "grrrrr
aargh" or "aargh grrrrr" or words
to that effect. $710m subsidy to
agriculture instead of cow reductions
- and farmers don't even pay into
the ETS!</t>
  </si>
  <si>
    <t>publicaddress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</si>
  <si>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bigfunk__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</si>
  <si>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scoopwellington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</si>
  <si>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julieannegenter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</si>
  <si>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mighty_kites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</si>
  <si>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whiskymead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</si>
  <si>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misswhanau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</si>
  <si>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egmanash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</si>
  <si>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stuffauckland
Bike Auckland chairperson Tony
Mitchell says people won't cycle
within cities if it's not safe
to to do. https://t.co/xrtblHDDhv</t>
  </si>
  <si>
    <t>wsmith01984
Full emission reduction plan report
here: Generally supportive, but
strongly opposed to the ill-defined
'dirty' car scrapping plan. Does
not consider manufacturing emissions.
Essentially just lipstick on climate
crime. https://t.co/E1RANZNJeZ</t>
  </si>
  <si>
    <t>timjonesbooks
Useful analysis of today's Emission
Reduction Plan - is it glass half
full or half empty? @CyclingActionNZ
https://t.co/xQhxixce2y</t>
  </si>
  <si>
    <t>themblogger31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</si>
  <si>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anth0888
Caption: Target✅ Plan✅ Jobs✅ Technology✅
Labor’s taxes❌ Image: "We've got
a plan to back jobs and prosperity
- the Australian way in a net zero,
cleaner world" - Tim Wilson MP.
Assistant Minister to the Minister
for Industry, Energy and Emission
Reduction.</t>
  </si>
  <si>
    <t>jdeheij
Great thread _xD83E__xDDF5_ that also shows
positive things that the Emission
Reduction Plan will bring. https://t.co/qndThHVBSy</t>
  </si>
  <si>
    <t>jes_af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</si>
  <si>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lindseyconrow
Emission Reduction Plan's transport
actions are about providing alternatives
and enabling lower-emissions choices
says, including for people with
lower incomes says @SimonKingham
https://t.co/H34kuX8fDa</t>
  </si>
  <si>
    <t xml:space="preserve">simonkingham
</t>
  </si>
  <si>
    <t>guardineer
NZ Emission Reduction Plan encourages
#EV purchases. @s_guilbeault @jkenney
@RachelNotley https://t.co/WqzFZHApHd</t>
  </si>
  <si>
    <t xml:space="preserve">rachelnotley
</t>
  </si>
  <si>
    <t xml:space="preserve">jkenney
</t>
  </si>
  <si>
    <t xml:space="preserve">s_guilbeault
</t>
  </si>
  <si>
    <t>jaackiepaul
Emission reduction plan; government
also launches Māori climate strategy,
funding https://t.co/vzfwNEfQNx
via @maoritv</t>
  </si>
  <si>
    <t xml:space="preserve">maoritv
</t>
  </si>
  <si>
    <t>gregpresland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</si>
  <si>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iscouncil_
Our congratulations to the government
in Aotearoa New Zealand on the
issuance of their inaugural Emission
Reduction Plan with the first three
emissions budgets agreed last week.
#sustainableinfrastructure #newzealand
#infrastructure https://t.co/sk0tvFNF8e</t>
  </si>
  <si>
    <t>otautaut
We are still finalising our response
to today's Emission Reduction Plan.
But it will be something like "grrrrr
aargh" or "aargh grrrrr" or words
to that effect. $710m subsidy to
agriculture instead of cow reductions
- and farmers don't even pay into
the ETS!</t>
  </si>
  <si>
    <t>leftiebynature
We are still finalising our response
to today's Emission Reduction Plan.
But it will be something like "grrrrr
aargh" or "aargh grrrrr" or words
to that effect. $710m subsidy to
agriculture instead of cow reductions
- and farmers don't even pay into
the ETS!</t>
  </si>
  <si>
    <t>3ku1111
On the emission reduction package.
It’s too centrist. It does not
go far enough. But it’s a good
stepping stone. If you want more
vote Greens. As I plan to do next
years GE #nzpol</t>
  </si>
  <si>
    <t>jimrosenz
The government is spending $650m
over four years, as part of its
Emissions Reduction Plan, on moving
industries away from using fossil
fuels. The National Party Leader
does not think taxpayers should
subsidise the cost. https://t.co/9wPP76xu2I</t>
  </si>
  <si>
    <t>radionz
The government is spending $650m
over four years, as part of its
Emissions Reduction Plan, on moving
industries away from using fossil
fuels. The National Party Leader
does not think taxpayers should
subsidise the cost. https://t.co/9wPP76xu2I</t>
  </si>
  <si>
    <t>bjafari
NZ continues to add to its transport
decarbonisation plan with the Clean
Car Upgrade for low and middle
income households. This comes on
top of its feebate and fuel efficiency
standard schemes. https://t.co/JTKIT1YTuf</t>
  </si>
  <si>
    <t>geoffrey_payne
NZ continues to add to its transport
decarbonisation plan with the Clean
Car Upgrade for low and middle
income households. This comes on
top of its feebate and fuel efficiency
standard schemes. https://t.co/JTKIT1YTuf</t>
  </si>
  <si>
    <t>lordfusitua
The government is spending $650m
over four years, as part of its
Emissions Reduction Plan, on moving
industries away from using fossil
fuels. The National Party Leader
does not think taxpayers should
subsidise the cost. https://t.co/9wPP76xu2I</t>
  </si>
  <si>
    <t>emuga12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</si>
  <si>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garethhughesnz
Is New Zealand doing all it can
on climate change after yesterday’s
Emission Reduction Plan? I wrote
down my thoughts on the ERP for
@TheSpinoffTV https://t.co/hCNCp7EVrD</t>
  </si>
  <si>
    <t xml:space="preserve">thespinofftv
</t>
  </si>
  <si>
    <t>weall_aotearoa
Is New Zealand doing all it can
on climate change after yesterday’s
Emission Reduction Plan? I wrote
down my thoughts on the ERP for
@TheSpinoffTV https://t.co/hCNCp7EVrD</t>
  </si>
  <si>
    <t>envirdebbie
We are still finalising our response
to today's Emission Reduction Plan.
But it will be something like "grrrrr
aargh" or "aargh grrrrr" or words
to that effect. $710m subsidy to
agriculture instead of cow reductions
- and farmers don't even pay into
the ETS!</t>
  </si>
  <si>
    <t>needlesineyes
#Canada has unveiled a $9 billion
“2030 emissions reduction plan”
with several provisions aimed at
lowering the country's emissions,
including a plan to mandate 20%
zero-emission new light-duty vehicle
sales in 2026, rising to 60% by
2030 and 100% by 2035. @ChrisMinnsMP
#NSW</t>
  </si>
  <si>
    <t xml:space="preserve">chrisminnsmp
</t>
  </si>
  <si>
    <t>mark_tilly1
The Climate Forestry Association
has argued #NZ will be unable to
reach net zero if its bans exotics
from its ETS, following the release
of the govt's Emission Reduction
Plan. _xD83D__xDDDE_️@CarbonPulse https://t.co/vUzBOEHD3Y</t>
  </si>
  <si>
    <t xml:space="preserve">carbonpulse
</t>
  </si>
  <si>
    <t>gaymaxine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</si>
  <si>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genevivelabont1
@Rebelwild41 @tvanouvelles Le non
dit dans leur plan de réduction
du carbone est que de détruire
une partie ( la plus pauvre biensure)
de la population avec l'inflation...tsé
moins de monde=moins d'émission
de carbone</t>
  </si>
  <si>
    <t xml:space="preserve">tvanouvelles
</t>
  </si>
  <si>
    <t xml:space="preserve">rebelwild41
</t>
  </si>
  <si>
    <t>emilypont
A “Carbon neutral by 2030” framework
is what pushed Flagstaff to pursue
CDR. If citizens had instead demanded
specific % of emission reduction,
how would the plan, and the way
the city spent its $$ resources
differ?</t>
  </si>
  <si>
    <t>3rdworldnetwork
The Soil Grab #Greenwashing by
#Agribusiness. Carbon farming should
not be national emission reduction
plan, instead a vast #agroecology
programme, land redistribution
&amp;amp; re-localisation is needed
to build carbon into soils &amp;amp;
cut emissions in food system. ➡️https://t.co/7Q68qnL8Mm
https://t.co/GhhICcrMM9</t>
  </si>
  <si>
    <t>vheeringa
Emission reduction plan: transport
https://t.co/nwKAkeHPbu</t>
  </si>
  <si>
    <t>edairynews
Dairy NZ CEO and climate expert
on what's needed and expected from
Emission Reduction Plan - https://t.co/2Kcituen9w
https://t.co/Smw3a40Gq8</t>
  </si>
  <si>
    <t>insights_nz
The government's Emissions Reduction
Plan aims to make 30% of light
vehicles zero emission by 2035
and may also lead to high-emission
vehicles facing penalties. Don't
wait, start transitioning your
business vehicles to electric now:
https://t.co/R1sPQfmUyE #ev #electricvehicles</t>
  </si>
  <si>
    <t>toituenvirocare
It's brilliant that the government
&amp;amp; opposition have agreed on
an emission budget _xD83D__xDE4C_ There's lots
of work to be done to achieve this
&amp;amp; we look forward to the full
Emissions Reduction Plan when it's
released next week. Stay tuned
for our analysis... https://t.co/0V9zvTqzyv</t>
  </si>
  <si>
    <t>G4</t>
  </si>
  <si>
    <t>G5</t>
  </si>
  <si>
    <t>G6</t>
  </si>
  <si>
    <t>G7</t>
  </si>
  <si>
    <t>G8</t>
  </si>
  <si>
    <t>G9</t>
  </si>
  <si>
    <t>G10</t>
  </si>
  <si>
    <t>G11</t>
  </si>
  <si>
    <t>G12</t>
  </si>
  <si>
    <t>G13</t>
  </si>
  <si>
    <t>G14</t>
  </si>
  <si>
    <t>G15</t>
  </si>
  <si>
    <t>G16</t>
  </si>
  <si>
    <t>G17</t>
  </si>
  <si>
    <t>G18</t>
  </si>
  <si>
    <t>G19</t>
  </si>
  <si>
    <t>G20</t>
  </si>
  <si>
    <t>G21</t>
  </si>
  <si>
    <t>G22</t>
  </si>
  <si>
    <t>G23</t>
  </si>
  <si>
    <t>0, 176, 22</t>
  </si>
  <si>
    <t>191, 0, 0</t>
  </si>
  <si>
    <t>230, 120, 0</t>
  </si>
  <si>
    <t>255, 191, 0</t>
  </si>
  <si>
    <t>150, 200, 0</t>
  </si>
  <si>
    <t>200, 0, 120</t>
  </si>
  <si>
    <t>77, 0, 96</t>
  </si>
  <si>
    <t>91, 0, 191</t>
  </si>
  <si>
    <t>0, 98, 130</t>
  </si>
  <si>
    <t>climate</t>
  </si>
  <si>
    <t>transport</t>
  </si>
  <si>
    <t>public</t>
  </si>
  <si>
    <t>grrrrr</t>
  </si>
  <si>
    <t>aargh</t>
  </si>
  <si>
    <t>minister</t>
  </si>
  <si>
    <t>agriculture</t>
  </si>
  <si>
    <t>change</t>
  </si>
  <si>
    <t>act</t>
  </si>
  <si>
    <t>party</t>
  </si>
  <si>
    <t>build</t>
  </si>
  <si>
    <t>important</t>
  </si>
  <si>
    <t>carbon</t>
  </si>
  <si>
    <t>today</t>
  </si>
  <si>
    <t>make</t>
  </si>
  <si>
    <t>instead</t>
  </si>
  <si>
    <t>ets</t>
  </si>
  <si>
    <t>first</t>
  </si>
  <si>
    <t>cycle</t>
  </si>
  <si>
    <t>today's</t>
  </si>
  <si>
    <t>energy</t>
  </si>
  <si>
    <t>away</t>
  </si>
  <si>
    <t>elements</t>
  </si>
  <si>
    <t>headline</t>
  </si>
  <si>
    <t>grabbing</t>
  </si>
  <si>
    <t>harder</t>
  </si>
  <si>
    <t>motorways</t>
  </si>
  <si>
    <t>attractive</t>
  </si>
  <si>
    <t>use</t>
  </si>
  <si>
    <t>safer</t>
  </si>
  <si>
    <t>need</t>
  </si>
  <si>
    <t>funds</t>
  </si>
  <si>
    <t>rules</t>
  </si>
  <si>
    <t>happen</t>
  </si>
  <si>
    <t>farmers</t>
  </si>
  <si>
    <t>private</t>
  </si>
  <si>
    <t>still</t>
  </si>
  <si>
    <t>finalising</t>
  </si>
  <si>
    <t>response</t>
  </si>
  <si>
    <t>something</t>
  </si>
  <si>
    <t>words</t>
  </si>
  <si>
    <t>effect</t>
  </si>
  <si>
    <t>710m</t>
  </si>
  <si>
    <t>subsidy</t>
  </si>
  <si>
    <t>cow</t>
  </si>
  <si>
    <t>reductions</t>
  </si>
  <si>
    <t>pay</t>
  </si>
  <si>
    <t>james</t>
  </si>
  <si>
    <t>shaw</t>
  </si>
  <si>
    <t>laid</t>
  </si>
  <si>
    <t>foundations</t>
  </si>
  <si>
    <t>9b</t>
  </si>
  <si>
    <t>transition</t>
  </si>
  <si>
    <t>pollution</t>
  </si>
  <si>
    <t>easily</t>
  </si>
  <si>
    <t>significant</t>
  </si>
  <si>
    <t>expenditure</t>
  </si>
  <si>
    <t>facilitated</t>
  </si>
  <si>
    <t>green</t>
  </si>
  <si>
    <t>national</t>
  </si>
  <si>
    <t>2030</t>
  </si>
  <si>
    <t>targets</t>
  </si>
  <si>
    <t>target</t>
  </si>
  <si>
    <t>sector</t>
  </si>
  <si>
    <t>support</t>
  </si>
  <si>
    <t>action</t>
  </si>
  <si>
    <t>kiwis</t>
  </si>
  <si>
    <t>purchase</t>
  </si>
  <si>
    <t>lease</t>
  </si>
  <si>
    <t>'leading</t>
  </si>
  <si>
    <t>role'</t>
  </si>
  <si>
    <t>nov</t>
  </si>
  <si>
    <t>18</t>
  </si>
  <si>
    <t>2021</t>
  </si>
  <si>
    <t>pmb</t>
  </si>
  <si>
    <t>signed</t>
  </si>
  <si>
    <t>nigeria</t>
  </si>
  <si>
    <t>bill</t>
  </si>
  <si>
    <t>law</t>
  </si>
  <si>
    <t>implications</t>
  </si>
  <si>
    <t>mandates</t>
  </si>
  <si>
    <t>entities</t>
  </si>
  <si>
    <t>employ</t>
  </si>
  <si>
    <t>50</t>
  </si>
  <si>
    <t>persons</t>
  </si>
  <si>
    <t>create</t>
  </si>
  <si>
    <t>annual</t>
  </si>
  <si>
    <t>aligned</t>
  </si>
  <si>
    <t>#thread</t>
  </si>
  <si>
    <t>zero</t>
  </si>
  <si>
    <t>amp</t>
  </si>
  <si>
    <t>#nzpol</t>
  </si>
  <si>
    <t>#breaking</t>
  </si>
  <si>
    <t>transport's</t>
  </si>
  <si>
    <t>taking</t>
  </si>
  <si>
    <t>nz's</t>
  </si>
  <si>
    <t>week</t>
  </si>
  <si>
    <t>net</t>
  </si>
  <si>
    <t>years</t>
  </si>
  <si>
    <t>top</t>
  </si>
  <si>
    <t>half</t>
  </si>
  <si>
    <t>full</t>
  </si>
  <si>
    <t>#climateaction</t>
  </si>
  <si>
    <t>#fun</t>
  </si>
  <si>
    <t>#easy</t>
  </si>
  <si>
    <t>#affordable</t>
  </si>
  <si>
    <t>#popular</t>
  </si>
  <si>
    <t>achieve</t>
  </si>
  <si>
    <t>announced</t>
  </si>
  <si>
    <t>dublin</t>
  </si>
  <si>
    <t>region</t>
  </si>
  <si>
    <t>needed</t>
  </si>
  <si>
    <t>cut</t>
  </si>
  <si>
    <t>erp</t>
  </si>
  <si>
    <t>release</t>
  </si>
  <si>
    <t>spending</t>
  </si>
  <si>
    <t>650m</t>
  </si>
  <si>
    <t>over</t>
  </si>
  <si>
    <t>four</t>
  </si>
  <si>
    <t>part</t>
  </si>
  <si>
    <t>moving</t>
  </si>
  <si>
    <t>industries</t>
  </si>
  <si>
    <t>using</t>
  </si>
  <si>
    <t>fossil</t>
  </si>
  <si>
    <t>fuels</t>
  </si>
  <si>
    <t>leader</t>
  </si>
  <si>
    <t>think</t>
  </si>
  <si>
    <t>taxpayers</t>
  </si>
  <si>
    <t>subsidise</t>
  </si>
  <si>
    <t>cost</t>
  </si>
  <si>
    <t>car</t>
  </si>
  <si>
    <t>analysis</t>
  </si>
  <si>
    <t>asks</t>
  </si>
  <si>
    <t>liberal</t>
  </si>
  <si>
    <t>move</t>
  </si>
  <si>
    <t>#insiders</t>
  </si>
  <si>
    <t>#auspol</t>
  </si>
  <si>
    <t>gas</t>
  </si>
  <si>
    <t>2050</t>
  </si>
  <si>
    <t>light</t>
  </si>
  <si>
    <t>2035</t>
  </si>
  <si>
    <t>business</t>
  </si>
  <si>
    <t>#ev</t>
  </si>
  <si>
    <t>dairy</t>
  </si>
  <si>
    <t>ceo</t>
  </si>
  <si>
    <t>expert</t>
  </si>
  <si>
    <t>expected</t>
  </si>
  <si>
    <t>system</t>
  </si>
  <si>
    <t>way</t>
  </si>
  <si>
    <t>carbone</t>
  </si>
  <si>
    <t>moins</t>
  </si>
  <si>
    <t>tuned</t>
  </si>
  <si>
    <t>including</t>
  </si>
  <si>
    <t>doing</t>
  </si>
  <si>
    <t>yesterday</t>
  </si>
  <si>
    <t>wrote</t>
  </si>
  <si>
    <t>down</t>
  </si>
  <si>
    <t>thoughts</t>
  </si>
  <si>
    <t>continues</t>
  </si>
  <si>
    <t>add</t>
  </si>
  <si>
    <t>decarbonisation</t>
  </si>
  <si>
    <t>clean</t>
  </si>
  <si>
    <t>upgrade</t>
  </si>
  <si>
    <t>middle</t>
  </si>
  <si>
    <t>income</t>
  </si>
  <si>
    <t>households</t>
  </si>
  <si>
    <t>comes</t>
  </si>
  <si>
    <t>feebate</t>
  </si>
  <si>
    <t>fuel</t>
  </si>
  <si>
    <t>efficiency</t>
  </si>
  <si>
    <t>standard</t>
  </si>
  <si>
    <t>schemes</t>
  </si>
  <si>
    <t>next</t>
  </si>
  <si>
    <t>agreed</t>
  </si>
  <si>
    <t>lower</t>
  </si>
  <si>
    <t>people</t>
  </si>
  <si>
    <t>jobs</t>
  </si>
  <si>
    <t>technology</t>
  </si>
  <si>
    <t>we've</t>
  </si>
  <si>
    <t>industry</t>
  </si>
  <si>
    <t>useful</t>
  </si>
  <si>
    <t>glass</t>
  </si>
  <si>
    <t>empty</t>
  </si>
  <si>
    <t>doesn</t>
  </si>
  <si>
    <t>takes</t>
  </si>
  <si>
    <t>monday</t>
  </si>
  <si>
    <t>learn</t>
  </si>
  <si>
    <t>plans</t>
  </si>
  <si>
    <t>much</t>
  </si>
  <si>
    <t>greenhouse</t>
  </si>
  <si>
    <t>overall</t>
  </si>
  <si>
    <t>join</t>
  </si>
  <si>
    <t>inc</t>
  </si>
  <si>
    <t>fnsf</t>
  </si>
  <si>
    <t>partnership</t>
  </si>
  <si>
    <t>aquila</t>
  </si>
  <si>
    <t>capital</t>
  </si>
  <si>
    <t>1gw</t>
  </si>
  <si>
    <t>solar</t>
  </si>
  <si>
    <t>major</t>
  </si>
  <si>
    <t>boost</t>
  </si>
  <si>
    <t>upcoming</t>
  </si>
  <si>
    <t>16th</t>
  </si>
  <si>
    <t>time</t>
  </si>
  <si>
    <t>invitation</t>
  </si>
  <si>
    <t>launch</t>
  </si>
  <si>
    <t>results</t>
  </si>
  <si>
    <t>master</t>
  </si>
  <si>
    <t>wednesday</t>
  </si>
  <si>
    <t>1st</t>
  </si>
  <si>
    <t>june</t>
  </si>
  <si>
    <t>11am</t>
  </si>
  <si>
    <t>provides</t>
  </si>
  <si>
    <t>realistic</t>
  </si>
  <si>
    <t>evidence</t>
  </si>
  <si>
    <t>based</t>
  </si>
  <si>
    <t>pathways</t>
  </si>
  <si>
    <t>https://www.newshub.co.nz/home/politics/2022/05/emissions-reduction-plan-transport-takes-leading-role-with-scrap-and-replace-low-emission-vehicle-leasing-trials-announced.html</t>
  </si>
  <si>
    <t>https://www.rnz.co.nz/news/political/467287/national-leader-christopher-luxon-says-no-to-corporate-welfare-for-climate-emission-reductions</t>
  </si>
  <si>
    <t>https://thespinoff.co.nz/politics/17-05-2022/the-erp-is-a-step-in-the-right-direction-but-wheres-the-ambition</t>
  </si>
  <si>
    <t>https://twitter.com/CriticalMassAKL/status/1526028961393745921</t>
  </si>
  <si>
    <t>https://www.newstalkzb.co.nz/on-air/mike-hosking-breakfast/audio/tim-mackle-and-adrian-macey-dairy-nz-ceo-and-victoria-university-climate-expert-on-whats-needed-and-expected-from-todays-emission-reduction-plan/</t>
  </si>
  <si>
    <t>https://www.newshub.co.nz/home/politics/2022/05/emissions-reduction-plan-transport-takes-leading-role-with-scrap-and-replace-low-emission-vehicle-leasing-trials-announced.html?utm_source=dlvr.it&amp;utm_medium=twitter</t>
  </si>
  <si>
    <t>https://www.rnz.co.nz/news/business/466954/solar-power-companies-plan-to-start-building-at-multiple-sites</t>
  </si>
  <si>
    <t>http://dlrppn.ie/invitation-to-launch-of-the-results-of-the-dublin-region-energy-master-plan/</t>
  </si>
  <si>
    <t>https://www.beehive.govt.nz/release/aotearoa-sets-course-net-zero-first-three-emissions-budgets?utm_campaign=coschedule&amp;utm_source=twitter&amp;utm_medium=ToituEnvirocare</t>
  </si>
  <si>
    <t>https://unglobalcompact.org/take-action/climate-ambition-accelerator</t>
  </si>
  <si>
    <t>https://lawlerconsulting.com/your-road-to-net-zero-in-2022/</t>
  </si>
  <si>
    <t>https://www.stuff.co.nz/national/politics/opinion/128635128/the-new-emission-reduction-plan-will-reveal-just-how-much-we-care-about-climate.html?utm_source=dlvr.it&amp;utm_medium=twitter</t>
  </si>
  <si>
    <t>https://www.stuff.co.nz/national/politics/opinion/128635128/the-new-emission-reduction-plan-will-reveal-just-how-much-we-care-about-climate</t>
  </si>
  <si>
    <t>https://www.stuff.co.nz/environment/climate-news/128657390/emission-reduction-plan-govts-100km-commitment-to-safe-cycling-unambitious.html?utm_source=dlvr.it&amp;utm_medium=twitter</t>
  </si>
  <si>
    <t>https://environment.govt.nz/assets/publications/Aotearoa-New-Zealands-first-emissions-reduction-plan.pdf</t>
  </si>
  <si>
    <t>https://twitter.com/nashthomas/status/1526091823403241472</t>
  </si>
  <si>
    <t>https://twitter.com/environmentgvnz/status/1525989421895532544</t>
  </si>
  <si>
    <t>Top URLs in Tweet in G5</t>
  </si>
  <si>
    <t>G4 Count</t>
  </si>
  <si>
    <t>Top URLs in Tweet in G6</t>
  </si>
  <si>
    <t>G5 Count</t>
  </si>
  <si>
    <t>Top URLs in Tweet in G7</t>
  </si>
  <si>
    <t>G6 Count</t>
  </si>
  <si>
    <t>Top URLs in Tweet in G8</t>
  </si>
  <si>
    <t>G7 Count</t>
  </si>
  <si>
    <t>https://www.theguardian.com/world/2022/may/16/help-to-buy-evs-in-landmark-new-zealand-net-zero-climate-plan</t>
  </si>
  <si>
    <t>Top URLs in Tweet in G9</t>
  </si>
  <si>
    <t>G8 Count</t>
  </si>
  <si>
    <t>Top URLs in Tweet in G10</t>
  </si>
  <si>
    <t>G9 Count</t>
  </si>
  <si>
    <t>G10 Count</t>
  </si>
  <si>
    <t>https://www.beehive.govt.nz/release/aotearoa-sets-course-net-zero-first-three-emissions-budgets?utm_campaign=coschedule&amp;utm_source=twitter&amp;utm_medium=ToituEnvirocare https://unglobalcompact.org/take-action/climate-ambition-accelerator https://lawlerconsulting.com/your-road-to-net-zero-in-2022/ https://www.stuff.co.nz/national/politics/opinion/128635128/the-new-emission-reduction-plan-will-reveal-just-how-much-we-care-about-climate.html?utm_source=dlvr.it&amp;utm_medium=twitter https://www.stuff.co.nz/national/politics/opinion/128635128/the-new-emission-reduction-plan-will-reveal-just-how-much-we-care-about-climate https://www.stuff.co.nz/environment/climate-news/128657390/emission-reduction-plan-govts-100km-commitment-to-safe-cycling-unambitious.html?utm_source=dlvr.it&amp;utm_medium=twitter https://environment.govt.nz/assets/publications/Aotearoa-New-Zealands-first-emissions-reduction-plan.pdf https://twitter.com/nashthomas/status/1526091823403241472 https://twitter.com/environmentgvnz/status/1525989421895532544 https://businessdesk.co.nz/article/climate-change/concrete-govt-eyes-carbon-border-tax</t>
  </si>
  <si>
    <t>https://www.newshub.co.nz/home/politics/2022/05/emissions-reduction-plan-transport-takes-leading-role-with-scrap-and-replace-low-emission-vehicle-leasing-trials-announced.html https://www.newshub.co.nz/home/politics/2022/05/emissions-reduction-plan-transport-takes-leading-role-with-scrap-and-replace-low-emission-vehicle-leasing-trials-announced.html?utm_source=dlvr.it&amp;utm_medium=twitter</t>
  </si>
  <si>
    <t>https://carbon-pulse.com/159647/</t>
  </si>
  <si>
    <t>https://www.teaomaori.news/emission-reduction-plan-government-also-launches-maori-climate-strategy-funding</t>
  </si>
  <si>
    <t>https://twitter.com/GeoHealthLab/status/1526112420481351680</t>
  </si>
  <si>
    <t>https://twitter.com/IATA/status/1525109197192429568</t>
  </si>
  <si>
    <t>Top Domains in Tweet in G5</t>
  </si>
  <si>
    <t>Top Domains in Tweet in G6</t>
  </si>
  <si>
    <t>Top Domains in Tweet in G7</t>
  </si>
  <si>
    <t>Top Domains in Tweet in G8</t>
  </si>
  <si>
    <t>Top Domains in Tweet in G9</t>
  </si>
  <si>
    <t>Top Domains in Tweet in G10</t>
  </si>
  <si>
    <t>co.nz govt.nz twitter.com unglobalcompact.org lawlerconsulting.com twn.my edairynews.com</t>
  </si>
  <si>
    <t>climateaction</t>
  </si>
  <si>
    <t>fun</t>
  </si>
  <si>
    <t>easy</t>
  </si>
  <si>
    <t>affordable</t>
  </si>
  <si>
    <t>popular</t>
  </si>
  <si>
    <t>insiders</t>
  </si>
  <si>
    <t>netzero</t>
  </si>
  <si>
    <t>ireland</t>
  </si>
  <si>
    <t>sustainableinfrastructure</t>
  </si>
  <si>
    <t>infrastructure</t>
  </si>
  <si>
    <t>greenwashing</t>
  </si>
  <si>
    <t>agribusiness</t>
  </si>
  <si>
    <t>agroecology</t>
  </si>
  <si>
    <t>Top Hashtags in Tweet in G5</t>
  </si>
  <si>
    <t>Top Hashtags in Tweet in G6</t>
  </si>
  <si>
    <t>Top Hashtags in Tweet in G7</t>
  </si>
  <si>
    <t>auspol</t>
  </si>
  <si>
    <t>Top Hashtags in Tweet in G8</t>
  </si>
  <si>
    <t>Top Hashtags in Tweet in G9</t>
  </si>
  <si>
    <t>Top Hashtags in Tweet in G10</t>
  </si>
  <si>
    <t>climateambition netzero ireland sustainableinfrastructure newzealand infrastructure greenwashing agribusiness agroecology ev</t>
  </si>
  <si>
    <t>Top Words in Tweet in G5</t>
  </si>
  <si>
    <t>Top Words in Tweet in G6</t>
  </si>
  <si>
    <t>Top Words in Tweet in G7</t>
  </si>
  <si>
    <t>Top Words in Tweet in G8</t>
  </si>
  <si>
    <t>Top Words in Tweet in G9</t>
  </si>
  <si>
    <t>Top Words in Tweet in G10</t>
  </si>
  <si>
    <t>plan transport emission reduction nz public climate minister more important</t>
  </si>
  <si>
    <t>plan emission reduction emissions carbon amp work week climate government</t>
  </si>
  <si>
    <t>grrrrr aargh still finalising response today's emission reduction plan something</t>
  </si>
  <si>
    <t>emission reduction plan cyclingactionnz half #climateaction #nzpol #fun #easy #affordable</t>
  </si>
  <si>
    <t>climate change private nov 18 2021 pmb signed nigeria bill</t>
  </si>
  <si>
    <t>support kiwis purchase lease low emission vehicles 'leading role' plan</t>
  </si>
  <si>
    <t>target important plan david_speers asks joshfrydenberg liberal party move 2030</t>
  </si>
  <si>
    <t>carbone moins</t>
  </si>
  <si>
    <t>zealand doing climate change yesterday emission reduction plan wrote down</t>
  </si>
  <si>
    <t>government spending 650m over four years part emissions reduction plan</t>
  </si>
  <si>
    <t>announced today fnsf partnership aquila capital build 1gw solar zealand</t>
  </si>
  <si>
    <t>2030 emissions plan</t>
  </si>
  <si>
    <t>nz continues add transport decarbonisation plan clean car upgrade low</t>
  </si>
  <si>
    <t>doesn more</t>
  </si>
  <si>
    <t>plan climate</t>
  </si>
  <si>
    <t>dublin region plan invitation launch results energy master wednesday 1st</t>
  </si>
  <si>
    <t>emission,reduction</t>
  </si>
  <si>
    <t>climate,change</t>
  </si>
  <si>
    <t>today's,emission</t>
  </si>
  <si>
    <t>important,transport</t>
  </si>
  <si>
    <t>transport,elements</t>
  </si>
  <si>
    <t>elements,nz</t>
  </si>
  <si>
    <t>nz,first</t>
  </si>
  <si>
    <t>first,emission</t>
  </si>
  <si>
    <t>plan,headline</t>
  </si>
  <si>
    <t>headline,grabbing</t>
  </si>
  <si>
    <t>grabbing,plan</t>
  </si>
  <si>
    <t>emissions,reduction</t>
  </si>
  <si>
    <t>greenhouse,gas</t>
  </si>
  <si>
    <t>net,zero</t>
  </si>
  <si>
    <t>cut,emissions</t>
  </si>
  <si>
    <t>still,finalising</t>
  </si>
  <si>
    <t>finalising,response</t>
  </si>
  <si>
    <t>response,today's</t>
  </si>
  <si>
    <t>plan,something</t>
  </si>
  <si>
    <t>something,grrrrr</t>
  </si>
  <si>
    <t>grrrrr,aargh</t>
  </si>
  <si>
    <t>aargh,aargh</t>
  </si>
  <si>
    <t>plan,cyclingactionnz</t>
  </si>
  <si>
    <t>cyclingactionnz,#climateaction</t>
  </si>
  <si>
    <t>#climateaction,#nzpol</t>
  </si>
  <si>
    <t>#nzpol,#fun</t>
  </si>
  <si>
    <t>#fun,#easy</t>
  </si>
  <si>
    <t>#easy,#affordable</t>
  </si>
  <si>
    <t>#affordable,#popular</t>
  </si>
  <si>
    <t>useful,analysis</t>
  </si>
  <si>
    <t>Top Word Pairs in Tweet in G5</t>
  </si>
  <si>
    <t>nov,18</t>
  </si>
  <si>
    <t>18,2021</t>
  </si>
  <si>
    <t>2021,pmb</t>
  </si>
  <si>
    <t>pmb,signed</t>
  </si>
  <si>
    <t>signed,nigeria</t>
  </si>
  <si>
    <t>nigeria,climate</t>
  </si>
  <si>
    <t>change,bill</t>
  </si>
  <si>
    <t>bill,law</t>
  </si>
  <si>
    <t>law,act</t>
  </si>
  <si>
    <t>Top Word Pairs in Tweet in G6</t>
  </si>
  <si>
    <t>support,kiwis</t>
  </si>
  <si>
    <t>kiwis,purchase</t>
  </si>
  <si>
    <t>purchase,lease</t>
  </si>
  <si>
    <t>lease,low</t>
  </si>
  <si>
    <t>emission,vehicles</t>
  </si>
  <si>
    <t>'leading,role'</t>
  </si>
  <si>
    <t>#breaking,support</t>
  </si>
  <si>
    <t>vehicles,transport's</t>
  </si>
  <si>
    <t>transport's,taking</t>
  </si>
  <si>
    <t>Top Word Pairs in Tweet in G7</t>
  </si>
  <si>
    <t>important,target</t>
  </si>
  <si>
    <t>target,plan</t>
  </si>
  <si>
    <t>plan,david_speers</t>
  </si>
  <si>
    <t>david_speers,asks</t>
  </si>
  <si>
    <t>asks,joshfrydenberg</t>
  </si>
  <si>
    <t>joshfrydenberg,liberal</t>
  </si>
  <si>
    <t>liberal,party</t>
  </si>
  <si>
    <t>party,move</t>
  </si>
  <si>
    <t>move,2030</t>
  </si>
  <si>
    <t>2030,emission</t>
  </si>
  <si>
    <t>Top Word Pairs in Tweet in G8</t>
  </si>
  <si>
    <t>Top Word Pairs in Tweet in G9</t>
  </si>
  <si>
    <t>Top Word Pairs in Tweet in G10</t>
  </si>
  <si>
    <t>emission,reduction  reduction,plan  important,transport  transport,elements  elements,nz  nz,first  first,emission  plan,headline  headline,grabbing  grabbing,plan</t>
  </si>
  <si>
    <t>reduction,plan  emission,reduction  emissions,reduction  greenhouse,gas  net,zero  cut,emissions</t>
  </si>
  <si>
    <t>still,finalising  finalising,response  response,today's  today's,emission  emission,reduction  reduction,plan  plan,something  something,grrrrr  grrrrr,aargh  aargh,aargh</t>
  </si>
  <si>
    <t>emission,reduction  reduction,plan  plan,cyclingactionnz  cyclingactionnz,#climateaction  #climateaction,#nzpol  #nzpol,#fun  #fun,#easy  #easy,#affordable  #affordable,#popular  useful,analysis</t>
  </si>
  <si>
    <t>climate,change  nov,18  18,2021  2021,pmb  pmb,signed  signed,nigeria  nigeria,climate  change,bill  bill,law  law,act</t>
  </si>
  <si>
    <t>support,kiwis  kiwis,purchase  purchase,lease  lease,low  low,emission  emission,vehicles  'leading,role'  #breaking,support  vehicles,transport's  transport's,taking</t>
  </si>
  <si>
    <t>important,target  target,plan  plan,david_speers  david_speers,asks  asks,joshfrydenberg  joshfrydenberg,liberal  liberal,party  party,move  move,2030  2030,emission</t>
  </si>
  <si>
    <t>zealand,doing  doing,climate  climate,change  change,yesterday  yesterday,emission  emission,reduction  reduction,plan  plan,wrote  wrote,down  down,thoughts</t>
  </si>
  <si>
    <t>government,spending  spending,650m  650m,over  over,four  four,years  years,part  part,emissions  emissions,reduction  reduction,plan  plan,moving</t>
  </si>
  <si>
    <t>today,fnsf  fnsf,announced  announced,partnership  partnership,aquila  aquila,capital  capital,build  build,1gw  1gw,solar  solar,zealand  zealand,major</t>
  </si>
  <si>
    <t>nz,continues  continues,add  add,transport  transport,decarbonisation  decarbonisation,plan  plan,clean  clean,car  car,upgrade  upgrade,low  low,middle</t>
  </si>
  <si>
    <t>dublin,region  invitation,launch  launch,results  results,dublin  region,energy  energy,master  master,plan  plan,wednesday  wednesday,1st  1st,june</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</si>
  <si>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</si>
  <si>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</si>
  <si>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</si>
  <si>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</si>
  <si>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</si>
  <si>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</si>
  <si>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</si>
  <si>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</si>
  <si>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</si>
  <si>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</si>
  <si>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</si>
  <si>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</si>
  <si>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david_speers joshfrydenberg</t>
  </si>
  <si>
    <t>s_guilbeault jkenney rachelnotley</t>
  </si>
  <si>
    <t>Top Tweeters in G5</t>
  </si>
  <si>
    <t>Top Tweeters in G6</t>
  </si>
  <si>
    <t>Top Tweeters in G7</t>
  </si>
  <si>
    <t>Top Tweeters in G8</t>
  </si>
  <si>
    <t>Top Tweeters in G9</t>
  </si>
  <si>
    <t>Top Tweeters in G10</t>
  </si>
  <si>
    <t>macilree publicaddress napierinframe bigfunk__ scoopwellington mighty_kites essigna gaymaxine gregpresland brianborunz</t>
  </si>
  <si>
    <t>nzstuffpolitics anth0888 wsmith01984 stuffauckland edairynews jdeheij businessdesk_nz ddub_news vheeringa falconseaknight</t>
  </si>
  <si>
    <t>olivefarmer norightturnnz otautaut uriohau nickofnz envirdebbie peterja27056176 russelnorman gplnz haylskoroi</t>
  </si>
  <si>
    <t>eco1start urbantui timjonesbooks patrickmorgan cyclingactionnz allantaunt</t>
  </si>
  <si>
    <t>toluogunlesi imam_president babahererra muribond sololurd waziriey17</t>
  </si>
  <si>
    <t>newshubnz nichols_lindy newshubbreaking newshubpolitics jamieensor</t>
  </si>
  <si>
    <t>abcnews peggymel2001 zazava david_speers joshfrydenberg</t>
  </si>
  <si>
    <t>jkenney s_guilbeault rachelnotley guardineer</t>
  </si>
  <si>
    <t>tvanouvelles rebelwild41 genevivelabont1</t>
  </si>
  <si>
    <t>thespinofftv garethhughesnz weall_aotearoa</t>
  </si>
  <si>
    <t>jimrosenz radionz lordfusitua</t>
  </si>
  <si>
    <t>isalutem jamespeshaw rich_homewood</t>
  </si>
  <si>
    <t>carbonpulse mark_tilly1</t>
  </si>
  <si>
    <t>needlesineyes chrisminnsmp</t>
  </si>
  <si>
    <t>geoffrey_payne bjafari</t>
  </si>
  <si>
    <t>jaackiepaul maoritv</t>
  </si>
  <si>
    <t>simonkingham lindseyconrow</t>
  </si>
  <si>
    <t>paulbmcgill geraldpiddock</t>
  </si>
  <si>
    <t>newstalkzb wellingtonuni</t>
  </si>
  <si>
    <t>iata michaelpolanyi</t>
  </si>
  <si>
    <t>jimgildea2014 dlrppn</t>
  </si>
  <si>
    <t>https://twn.my/title2/susagri/2022/sa979.htm</t>
  </si>
  <si>
    <t>https://edairynews.com/en/?p=106818</t>
  </si>
  <si>
    <t>https://drivinginsights.co.nz/fleet-management/planning-your-electric-fleet/</t>
  </si>
  <si>
    <t>amp brilliant government opposition agreed budget lots work done achieve</t>
  </si>
  <si>
    <t>dublin region invitation launch results energy master wednesday 1st june</t>
  </si>
  <si>
    <t>inc emissions integrity intrigue innovation investment work jet token authorizes</t>
  </si>
  <si>
    <t>join registrations close today #climateambition accelerator companies six month journey</t>
  </si>
  <si>
    <t>ireland recently launched climate action legally committed achieving net zero</t>
  </si>
  <si>
    <t>2030 iata recognize importance reducing ghg emissions refuse include target</t>
  </si>
  <si>
    <t>opinion lay zealand plans cut carbon ensuing debate show much</t>
  </si>
  <si>
    <t>calls building equivalent 33 large gas power plants according estimates</t>
  </si>
  <si>
    <t>missing big week parliament we've monday budget 2022 thursday</t>
  </si>
  <si>
    <t>ends muddle plans fish fowl ropey industry support dressed climate</t>
  </si>
  <si>
    <t>target important david_speers asks joshfrydenberg liberal party move 2030 #insiders</t>
  </si>
  <si>
    <t>happy monday tova 8am russel norman greenpeace wishlist 09 fed</t>
  </si>
  <si>
    <t>cyclingactionnz #climateaction #nzpol #fun #easy #affordable #popular</t>
  </si>
  <si>
    <t>half cyclingactionnz useful analysis today's glass full empty #climateaction #nzpol</t>
  </si>
  <si>
    <t>support kiwis purchase lease low vehicles 'leading role' #breaking transport's</t>
  </si>
  <si>
    <t>#breaking support kiwis purchase lease low vehicles transport's taking 'leading</t>
  </si>
  <si>
    <t>climate minister today james shaw laid foundations 9b transition transport</t>
  </si>
  <si>
    <t>transport nz public climate minister important elements first headline grabbing</t>
  </si>
  <si>
    <t>transport important elements nz first headline grabbing harder build motorways</t>
  </si>
  <si>
    <t>grrrrr aargh still finalising response today's something words effect 710m</t>
  </si>
  <si>
    <t>dairy nz ceo climate expert needed expected</t>
  </si>
  <si>
    <t>prior #nzgovt's release #emissionreduction #wellingtonuni's adjunct professor zealand climate change</t>
  </si>
  <si>
    <t>doesn more geraldpiddock above adding view sector come release stuff</t>
  </si>
  <si>
    <t>bike auckland chairperson tony mitchell people cycle within cities safe</t>
  </si>
  <si>
    <t>full report generally supportive strongly opposed ill defined 'dirty' car</t>
  </si>
  <si>
    <t>half useful analysis today's glass full empty cyclingactionnz</t>
  </si>
  <si>
    <t>jobs minister caption target technology labor taxes image we've back</t>
  </si>
  <si>
    <t>great thread shows positive things bring</t>
  </si>
  <si>
    <t>lower plan's transport actions providing alternatives enabling emissions choices including</t>
  </si>
  <si>
    <t>nz encourages #ev purchases s_guilbeault jkenney rachelnotley</t>
  </si>
  <si>
    <t>government launches māori climate strategy funding maoritv</t>
  </si>
  <si>
    <t>congratulations government aotearoa zealand issuance inaugural first three emissions budgets</t>
  </si>
  <si>
    <t>more transport package centrist go far enough good stepping stone</t>
  </si>
  <si>
    <t>government spending 650m over four years part emissions moving industries</t>
  </si>
  <si>
    <t>nz continues add transport decarbonisation clean car upgrade low middle</t>
  </si>
  <si>
    <t>zealand doing climate change yesterday wrote down thoughts erp thespinofftv</t>
  </si>
  <si>
    <t>2030 emissions #canada unveiled billion several provisions aimed lowering country's</t>
  </si>
  <si>
    <t>climate forestry association argued #nz unable reach net zero bans</t>
  </si>
  <si>
    <t>carbone moins rebelwild41 tvanouvelles non dit leur réduction détruire partie</t>
  </si>
  <si>
    <t>carbon neutral 2030 framework pushed flagstaff pursue cdr citizens instead</t>
  </si>
  <si>
    <t>carbon amp soil grab #greenwashing #agribusiness farming national instead vast</t>
  </si>
  <si>
    <t>vehicles government's emissions aims make 30 light zero 2035 lead</t>
  </si>
  <si>
    <t>half useful analysis today's glass full empty #climateaction #nzpol #fun</t>
  </si>
  <si>
    <t>#breaking transport's taking nz's emissions jamieensor transport takes climate support</t>
  </si>
  <si>
    <t>climate minister important elements first headline grabbing harder build motorways</t>
  </si>
  <si>
    <t>transport package centrist go far enough good stepping stone vote</t>
  </si>
  <si>
    <t>brilliant,government  government,amp  amp,opposition  opposition,agreed  agreed,emission  emission,budget  budget,lots  lots,work  work,done  done,achieve</t>
  </si>
  <si>
    <t>integrity,intrigue  intrigue,innovation  innovation,inc  inc,investment  investment,work  work,jet  jet,token  token,inc  inc,authorizes  authorizes,carbon</t>
  </si>
  <si>
    <t>registrations,close  close,today  today,#climateambition  #climateambition,accelerator  accelerator,join  join,companies  companies,six  six,month  month,journey  journey,motivates</t>
  </si>
  <si>
    <t>ireland,recently  recently,launched  launched,climate  climate,action  action,plan  plan,legally  legally,committed  committed,achieving  achieving,net  net,zero</t>
  </si>
  <si>
    <t>iata,recognize  recognize,importance  importance,reducing  reducing,ghg  ghg,emissions  emissions,2030  2030,refuse  refuse,include  include,2030  2030,emission</t>
  </si>
  <si>
    <t>opinion,plan  plan,lay  lay,zealand  zealand,plans  plans,cut  cut,carbon  carbon,ensuing  ensuing,debate  debate,show  show,much</t>
  </si>
  <si>
    <t>plan,calls  calls,building  building,equivalent  equivalent,33  33,large  large,gas  gas,power  power,plants  plants,according  according,estimates</t>
  </si>
  <si>
    <t>missing,big  big,week  week,parliament  parliament,we've  we've,emission  emission,reduction  reduction,plan  plan,monday  monday,budget  budget,2022</t>
  </si>
  <si>
    <t>ends,muddle  muddle,plans  plans,fish  fish,fowl  fowl,ropey  ropey,industry  industry,support  support,dressed  dressed,climate  climate,policy</t>
  </si>
  <si>
    <t>happy,monday  monday,tova  tova,8am  8am,russel  russel,norman  norman,greenpeace  greenpeace,emission  emission,reduction  reduction,plan  plan,wishlist</t>
  </si>
  <si>
    <t>emission,reduction  reduction,plan  plan,cyclingactionnz  cyclingactionnz,#climateaction  #climateaction,#nzpol  #nzpol,#fun  #fun,#easy  #easy,#affordable  #affordable,#popular</t>
  </si>
  <si>
    <t>emission,reduction  reduction,plan  useful,analysis  analysis,today's  today's,emission  plan,glass  glass,half  half,full  full,half  half,empty</t>
  </si>
  <si>
    <t>#breaking,support  support,kiwis  kiwis,purchase  purchase,lease  lease,low  low,emission  emission,vehicles  vehicles,transport's  transport's,taking  taking,'leading</t>
  </si>
  <si>
    <t>today,emission  emission,reduction  reduction,plan  plan,climate  climate,minister  minister,james  james,shaw  shaw,laid  laid,foundations  foundations,9b</t>
  </si>
  <si>
    <t>important,transport  transport,elements  elements,nz  nz,first  first,emission  emission,reduction  reduction,plan  plan,headline  headline,grabbing  grabbing,plan</t>
  </si>
  <si>
    <t>dairy,nz  nz,ceo  ceo,climate  climate,expert  expert,needed  needed,expected  expected,emission  emission,reduction  reduction,plan</t>
  </si>
  <si>
    <t>prior,#nzgovt's  #nzgovt's,release  release,#emissionreduction  #emissionreduction,plan  plan,#wellingtonuni's  #wellingtonuni's,adjunct  adjunct,professor  professor,zealand  zealand,climate  climate,change</t>
  </si>
  <si>
    <t>geraldpiddock,above  above,adding  adding,view  view,sector  sector,doesn  doesn,plan  plan,doesn  doesn,come  come,emission  emission,reduction</t>
  </si>
  <si>
    <t>bike,auckland  auckland,chairperson  chairperson,tony  tony,mitchell  mitchell,people  people,cycle  cycle,within  within,cities  cities,safe</t>
  </si>
  <si>
    <t>full,emission  emission,reduction  reduction,plan  plan,report  report,generally  generally,supportive  supportive,strongly  strongly,opposed  opposed,ill  ill,defined</t>
  </si>
  <si>
    <t>useful,analysis  analysis,today's  today's,emission  emission,reduction  reduction,plan  plan,glass  glass,half  half,full  full,half  half,empty</t>
  </si>
  <si>
    <t>caption,target  target,plan  plan,jobs  jobs,technology  technology,labor  labor,taxes  taxes,image  image,we've  we've,plan  plan,back</t>
  </si>
  <si>
    <t>great,thread  thread,shows  shows,positive  positive,things  things,emission  emission,reduction  reduction,plan  plan,bring</t>
  </si>
  <si>
    <t>emission,reduction  reduction,plan's  plan's,transport  transport,actions  actions,providing  providing,alternatives  alternatives,enabling  enabling,lower  lower,emissions  emissions,choices</t>
  </si>
  <si>
    <t>nz,emission  emission,reduction  reduction,plan  plan,encourages  encourages,#ev  #ev,purchases  purchases,s_guilbeault  s_guilbeault,jkenney  jkenney,rachelnotley</t>
  </si>
  <si>
    <t>emission,reduction  reduction,plan  plan,government  government,launches  launches,māori  māori,climate  climate,strategy  strategy,funding  funding,maoritv</t>
  </si>
  <si>
    <t>congratulations,government  government,aotearoa  aotearoa,zealand  zealand,issuance  issuance,inaugural  inaugural,emission  emission,reduction  reduction,plan  plan,first  first,three</t>
  </si>
  <si>
    <t>emission,reduction  reduction,package  package,centrist  centrist,go  go,far  far,enough  enough,good  good,stepping  stepping,stone  stone,more</t>
  </si>
  <si>
    <t>#canada,unveiled  unveiled,billion  billion,2030  2030,emissions  emissions,reduction  reduction,plan  plan,several  several,provisions  provisions,aimed  aimed,lowering</t>
  </si>
  <si>
    <t>climate,forestry  forestry,association  association,argued  argued,#nz  #nz,unable  unable,reach  reach,net  net,zero  zero,bans  bans,exotics</t>
  </si>
  <si>
    <t>rebelwild41,tvanouvelles  tvanouvelles,non  non,dit  dit,leur  leur,plan  plan,réduction  réduction,carbone  carbone,détruire  détruire,partie  partie,plus</t>
  </si>
  <si>
    <t>carbon,neutral  neutral,2030  2030,framework  framework,pushed  pushed,flagstaff  flagstaff,pursue  pursue,cdr  cdr,citizens  citizens,instead  instead,demanded</t>
  </si>
  <si>
    <t>soil,grab  grab,#greenwashing  #greenwashing,#agribusiness  #agribusiness,carbon  carbon,farming  farming,national  national,emission  emission,reduction  reduction,plan  plan,instead</t>
  </si>
  <si>
    <t>emission,reduction  reduction,plan  plan,transport</t>
  </si>
  <si>
    <t>government's,emissions  emissions,reduction  reduction,plan  plan,aims  aims,make  make,30  30,light  light,vehicles  vehicles,zero  zero,emission</t>
  </si>
  <si>
    <t>useful,analysis  analysis,today's  today's,emission  plan,glass  glass,half  half,full  full,half  half,empty  empty,cyclingactionnz  plan,cyclingactionnz</t>
  </si>
  <si>
    <t>#breaking,support  vehicles,transport's  transport's,taking  taking,'leading  role',nz's  nz's,emissions  emissions,plan  plan,jamieensor  vehicles,transport  transport,takes</t>
  </si>
  <si>
    <t>important,transport  transport,elements  elements,nz  nz,first  first,emission  plan,headline  headline,grabbing  grabbing,plan  plan,harder  harder,build</t>
  </si>
  <si>
    <t>reduction,package  package,centrist  centrist,go  go,far  far,enough  enough,good  good,stepping  stepping,stone  stone,more  more,vote</t>
  </si>
  <si>
    <t>Feb</t>
  </si>
  <si>
    <t>8-Feb</t>
  </si>
  <si>
    <t>May</t>
  </si>
  <si>
    <t>10-May</t>
  </si>
  <si>
    <t>11-May</t>
  </si>
  <si>
    <t>12-May</t>
  </si>
  <si>
    <t>13-May</t>
  </si>
  <si>
    <t>14-May</t>
  </si>
  <si>
    <t>15-May</t>
  </si>
  <si>
    <t>16-May</t>
  </si>
  <si>
    <t>17-May</t>
  </si>
  <si>
    <t>18-May</t>
  </si>
  <si>
    <t>19-May</t>
  </si>
  <si>
    <t>Red</t>
  </si>
  <si>
    <t>G1: nzpol</t>
  </si>
  <si>
    <t>G2: climateambition netzero ireland sustainableinfrastructure newzealand infrastructure greenwashing agribusiness agroecology ev</t>
  </si>
  <si>
    <t>G4: climateaction nzpol fun easy affordable popular</t>
  </si>
  <si>
    <t>G5: thread</t>
  </si>
  <si>
    <t>G6: breaking</t>
  </si>
  <si>
    <t>G7: insiders auspol</t>
  </si>
  <si>
    <t>G8: ev</t>
  </si>
  <si>
    <t>G9: newzealand emissions</t>
  </si>
  <si>
    <t>G14: nz</t>
  </si>
  <si>
    <t>G16: canada nsw</t>
  </si>
  <si>
    <t>G21: nzgovt emissionreduction wellingtonuni</t>
  </si>
  <si>
    <t>Edge Weight▓1▓1▓0▓True▓Gray▓Red▓▓Edge Weight▓1▓1▓0▓5▓10▓False▓Edge Weight▓1▓1▓0▓50▓15▓False▓▓0▓0▓0▓True▓Black▓Black▓▓Betweenness Centrality▓0▓20▓3▓100▓1000▓False▓▓0▓0▓0▓0▓0▓False▓▓0▓0▓0▓0▓0▓False▓▓0▓0▓0▓0▓0▓False</t>
  </si>
  <si>
    <t>GraphSource░TwitterSearch▓GraphTerm░emission Reduction plan▓ImportDescription░The graph represents a network of 118 Twitter users whose recent tweets contained "emission Reduction plan", or who were replied to or mentioned in those tweets, taken from a data set limited to a maximum of 18,000 tweets.  The network was obtained from Twitter on Thursday, 19 May 2022 at 01:35 UTC.
The tweets in the network were tweeted over the 8-day, 2-hour, 4-minute period from Tuesday, 10 May 2022 at 22:50 UTC to Thursday, 19 May 2022 at 00:54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"mentions".▓ImportSuggestedTitle░emission Reduction plan Twitter NodeXL SNA Map and Report for Thursday, 19 May 2022 at 01:35 UTC▓ImportSuggestedFileNameNoExtension░2022-05-19 01-35-25 NodeXL Twitter Search emission Reduction plan▓GroupingDescription░The graph's vertices were grouped by cluster using the Clauset-Newman-Moore cluster algorithm.▓LayoutAlgorithm░The graph was laid out using the Harel-Koren Fast Multiscale layout algorithm.▓GraphDirectedness░The graph is directed.</t>
  </si>
  <si>
    <t>emission Reduction plan</t>
  </si>
  <si>
    <t>The graph represents a network of 118 Twitter users whose recent tweets contained "emission Reduction plan", or who were replied to or mentioned in those tweets, taken from a data set limited to a maximum of 18,000 tweets.  The network was obtained from Twitter on Thursday, 19 May 2022 at 01:35 UTC.
The tweets in the network were tweeted over the 8-day, 2-hour, 4-minute period from Tuesday, 10 May 2022 at 22:50 UTC to Thursday, 19 May 2022 at 00:54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</si>
  <si>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</si>
  <si>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https://nodexlgraphgallery.org/Pages/Graph.aspx?graphID=276583</t>
  </si>
  <si>
    <t>https://nodexlgraphgallery.org/Images/Image.ashx?graphID=276583&amp;type=f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</si>
</sst>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6"/>
      <tableStyleElement type="headerRow" dxfId="505"/>
    </tableStyle>
    <tableStyle name="NodeXL Table" pivot="0" count="1">
      <tableStyleElement type="headerRow" dxfId="5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11433"/>
        <c:axId val="55785170"/>
      </c:barChart>
      <c:catAx>
        <c:axId val="21111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85170"/>
        <c:crosses val="autoZero"/>
        <c:auto val="1"/>
        <c:lblOffset val="100"/>
        <c:noMultiLvlLbl val="0"/>
      </c:catAx>
      <c:valAx>
        <c:axId val="5578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1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emission Reduction plan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8-Feb
Feb
2022</c:v>
                </c:pt>
                <c:pt idx="1">
                  <c:v>10-May
May</c:v>
                </c:pt>
                <c:pt idx="2">
                  <c:v>11-May</c:v>
                </c:pt>
                <c:pt idx="3">
                  <c:v>12-May</c:v>
                </c:pt>
                <c:pt idx="4">
                  <c:v>13-May</c:v>
                </c:pt>
                <c:pt idx="5">
                  <c:v>14-May</c:v>
                </c:pt>
                <c:pt idx="6">
                  <c:v>15-May</c:v>
                </c:pt>
                <c:pt idx="7">
                  <c:v>16-May</c:v>
                </c:pt>
                <c:pt idx="8">
                  <c:v>17-May</c:v>
                </c:pt>
                <c:pt idx="9">
                  <c:v>18-May</c:v>
                </c:pt>
                <c:pt idx="10">
                  <c:v>19-May</c:v>
                </c:pt>
              </c:strCache>
            </c:strRef>
          </c:cat>
          <c:val>
            <c:numRef>
              <c:f>'Time Series'!$B$26:$B$40</c:f>
              <c:numCache>
                <c:formatCode>General</c:formatCode>
                <c:ptCount val="11"/>
                <c:pt idx="0">
                  <c:v>1</c:v>
                </c:pt>
                <c:pt idx="1">
                  <c:v>1</c:v>
                </c:pt>
                <c:pt idx="2">
                  <c:v>2</c:v>
                </c:pt>
                <c:pt idx="3">
                  <c:v>3</c:v>
                </c:pt>
                <c:pt idx="4">
                  <c:v>6</c:v>
                </c:pt>
                <c:pt idx="5">
                  <c:v>4</c:v>
                </c:pt>
                <c:pt idx="6">
                  <c:v>12</c:v>
                </c:pt>
                <c:pt idx="7">
                  <c:v>56</c:v>
                </c:pt>
                <c:pt idx="8">
                  <c:v>17</c:v>
                </c:pt>
                <c:pt idx="9">
                  <c:v>5</c:v>
                </c:pt>
                <c:pt idx="10">
                  <c:v>1</c:v>
                </c:pt>
              </c:numCache>
            </c:numRef>
          </c:val>
        </c:ser>
        <c:axId val="29319347"/>
        <c:axId val="62547532"/>
      </c:barChart>
      <c:catAx>
        <c:axId val="29319347"/>
        <c:scaling>
          <c:orientation val="minMax"/>
        </c:scaling>
        <c:axPos val="b"/>
        <c:delete val="0"/>
        <c:numFmt formatCode="General" sourceLinked="1"/>
        <c:majorTickMark val="out"/>
        <c:minorTickMark val="none"/>
        <c:tickLblPos val="nextTo"/>
        <c:crossAx val="62547532"/>
        <c:crosses val="autoZero"/>
        <c:auto val="1"/>
        <c:lblOffset val="100"/>
        <c:noMultiLvlLbl val="0"/>
      </c:catAx>
      <c:valAx>
        <c:axId val="62547532"/>
        <c:scaling>
          <c:orientation val="minMax"/>
        </c:scaling>
        <c:axPos val="l"/>
        <c:majorGridlines/>
        <c:delete val="0"/>
        <c:numFmt formatCode="General" sourceLinked="1"/>
        <c:majorTickMark val="out"/>
        <c:minorTickMark val="none"/>
        <c:tickLblPos val="nextTo"/>
        <c:crossAx val="293193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04483"/>
        <c:axId val="22304892"/>
      </c:barChart>
      <c:catAx>
        <c:axId val="323044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04892"/>
        <c:crosses val="autoZero"/>
        <c:auto val="1"/>
        <c:lblOffset val="100"/>
        <c:noMultiLvlLbl val="0"/>
      </c:catAx>
      <c:valAx>
        <c:axId val="223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21271"/>
        <c:axId val="45073712"/>
      </c:barChart>
      <c:catAx>
        <c:axId val="19921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73712"/>
        <c:crosses val="autoZero"/>
        <c:auto val="1"/>
        <c:lblOffset val="100"/>
        <c:noMultiLvlLbl val="0"/>
      </c:catAx>
      <c:valAx>
        <c:axId val="4507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10225"/>
        <c:axId val="27092026"/>
      </c:barChart>
      <c:catAx>
        <c:axId val="30102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92026"/>
        <c:crosses val="autoZero"/>
        <c:auto val="1"/>
        <c:lblOffset val="100"/>
        <c:noMultiLvlLbl val="0"/>
      </c:catAx>
      <c:valAx>
        <c:axId val="2709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01643"/>
        <c:axId val="46970468"/>
      </c:barChart>
      <c:catAx>
        <c:axId val="42501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0468"/>
        <c:crosses val="autoZero"/>
        <c:auto val="1"/>
        <c:lblOffset val="100"/>
        <c:noMultiLvlLbl val="0"/>
      </c:catAx>
      <c:valAx>
        <c:axId val="4697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81029"/>
        <c:axId val="46511534"/>
      </c:barChart>
      <c:catAx>
        <c:axId val="200810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11534"/>
        <c:crosses val="autoZero"/>
        <c:auto val="1"/>
        <c:lblOffset val="100"/>
        <c:noMultiLvlLbl val="0"/>
      </c:catAx>
      <c:valAx>
        <c:axId val="465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1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50623"/>
        <c:axId val="9337880"/>
      </c:barChart>
      <c:catAx>
        <c:axId val="159506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37880"/>
        <c:crosses val="autoZero"/>
        <c:auto val="1"/>
        <c:lblOffset val="100"/>
        <c:noMultiLvlLbl val="0"/>
      </c:catAx>
      <c:valAx>
        <c:axId val="933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32057"/>
        <c:axId val="18170786"/>
      </c:barChart>
      <c:catAx>
        <c:axId val="16932057"/>
        <c:scaling>
          <c:orientation val="minMax"/>
        </c:scaling>
        <c:axPos val="b"/>
        <c:delete val="1"/>
        <c:majorTickMark val="out"/>
        <c:minorTickMark val="none"/>
        <c:tickLblPos val="none"/>
        <c:crossAx val="18170786"/>
        <c:crosses val="autoZero"/>
        <c:auto val="1"/>
        <c:lblOffset val="100"/>
        <c:noMultiLvlLbl val="0"/>
      </c:catAx>
      <c:valAx>
        <c:axId val="18170786"/>
        <c:scaling>
          <c:orientation val="minMax"/>
        </c:scaling>
        <c:axPos val="l"/>
        <c:delete val="1"/>
        <c:majorTickMark val="out"/>
        <c:minorTickMark val="none"/>
        <c:tickLblPos val="none"/>
        <c:crossAx val="169320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Liz Stedman" refreshedVersion="7">
  <cacheSource type="worksheet">
    <worksheetSource ref="A2:BN11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08">
        <d v="2022-05-10T22:50:06.000"/>
        <d v="2022-05-11T10:56:31.000"/>
        <d v="2022-05-11T11:29:24.000"/>
        <d v="2022-05-12T00:57:15.000"/>
        <d v="2022-05-12T08:53:07.000"/>
        <d v="2022-05-12T17:46:24.000"/>
        <d v="2022-05-13T09:39:12.000"/>
        <d v="2022-05-13T10:01:06.000"/>
        <d v="2022-05-13T13:51:33.000"/>
        <d v="2022-05-13T17:05:10.000"/>
        <d v="2022-05-13T18:49:48.000"/>
        <d v="2022-05-13T21:59:45.000"/>
        <d v="2022-05-14T02:55:42.000"/>
        <d v="2022-05-14T23:52:19.000"/>
        <d v="2022-05-14T23:50:11.000"/>
        <d v="2022-05-14T23:53:18.000"/>
        <d v="2022-05-15T12:59:53.000"/>
        <d v="2022-05-15T13:21:20.000"/>
        <d v="2022-05-15T13:58:29.000"/>
        <d v="2022-05-15T14:36:55.000"/>
        <d v="2022-02-08T04:59:54.000"/>
        <d v="2022-05-15T12:23:03.000"/>
        <d v="2022-05-15T18:52:11.000"/>
        <d v="2022-05-15T19:34:04.000"/>
        <d v="2022-05-15T19:52:46.000"/>
        <d v="2022-05-15T20:54:00.000"/>
        <d v="2022-05-15T21:47:59.000"/>
        <d v="2022-05-16T00:03:24.000"/>
        <d v="2022-05-16T00:12:06.000"/>
        <d v="2022-05-16T00:13:04.000"/>
        <d v="2022-05-16T00:03:21.000"/>
        <d v="2022-05-16T00:03:16.000"/>
        <d v="2022-05-16T00:08:20.000"/>
        <d v="2022-05-16T00:13:05.000"/>
        <d v="2022-05-16T00:35:20.000"/>
        <d v="2022-05-16T00:35:23.000"/>
        <d v="2022-05-16T00:35:58.000"/>
        <d v="2022-05-16T00:36:24.000"/>
        <d v="2022-05-16T01:08:32.000"/>
        <d v="2022-05-16T01:42:41.000"/>
        <d v="2022-05-16T02:03:39.000"/>
        <d v="2022-05-16T02:10:23.000"/>
        <d v="2022-05-16T02:14:32.000"/>
        <d v="2022-05-16T02:14:45.000"/>
        <d v="2022-05-16T02:16:52.000"/>
        <d v="2022-05-16T02:20:15.000"/>
        <d v="2022-05-16T02:34:36.000"/>
        <d v="2022-05-16T02:36:01.000"/>
        <d v="2022-05-15T23:20:00.000"/>
        <d v="2022-05-16T02:36:07.000"/>
        <d v="2022-05-16T02:39:34.000"/>
        <d v="2022-05-16T02:41:52.000"/>
        <d v="2022-05-16T02:43:28.000"/>
        <d v="2022-05-16T02:49:54.000"/>
        <d v="2022-05-16T02:54:11.000"/>
        <d v="2022-05-16T03:01:53.000"/>
        <d v="2022-05-16T03:03:23.000"/>
        <d v="2022-05-16T03:20:19.000"/>
        <d v="2022-05-16T03:26:39.000"/>
        <d v="2022-05-16T03:28:47.000"/>
        <d v="2022-05-16T03:32:12.000"/>
        <d v="2022-05-16T00:36:23.000"/>
        <d v="2022-05-16T03:46:01.000"/>
        <d v="2022-05-16T03:52:02.000"/>
        <d v="2022-05-16T03:59:34.000"/>
        <d v="2022-05-16T04:35:38.000"/>
        <d v="2022-05-15T19:43:56.000"/>
        <d v="2022-05-16T04:37:24.000"/>
        <d v="2022-05-16T05:12:23.000"/>
        <d v="2022-05-16T05:48:32.000"/>
        <d v="2022-05-16T06:00:16.000"/>
        <d v="2022-05-16T06:51:09.000"/>
        <d v="2022-05-16T09:23:29.000"/>
        <d v="2022-05-16T10:02:06.000"/>
        <d v="2022-05-16T17:56:32.000"/>
        <d v="2022-05-16T19:32:10.000"/>
        <d v="2022-05-16T20:29:48.000"/>
        <d v="2022-05-16T21:05:45.000"/>
        <d v="2022-05-16T21:05:59.000"/>
        <d v="2022-05-16T21:38:26.000"/>
        <d v="2022-05-16T05:38:03.000"/>
        <d v="2022-05-17T02:04:18.000"/>
        <d v="2022-05-17T03:13:02.000"/>
        <d v="2022-05-16T02:20:37.000"/>
        <d v="2022-05-17T03:21:34.000"/>
        <d v="2022-05-17T03:04:46.000"/>
        <d v="2022-05-17T03:27:43.000"/>
        <d v="2022-05-17T03:32:21.000"/>
        <d v="2022-05-17T00:07:49.000"/>
        <d v="2022-05-17T07:31:55.000"/>
        <d v="2022-05-16T02:08:57.000"/>
        <d v="2022-05-17T08:35:59.000"/>
        <d v="2022-05-17T08:52:28.000"/>
        <d v="2022-05-17T10:09:45.000"/>
        <d v="2022-05-17T10:47:20.000"/>
        <d v="2022-05-17T12:00:21.000"/>
        <d v="2022-05-16T00:34:23.000"/>
        <d v="2022-05-16T01:36:00.000"/>
        <d v="2022-05-17T18:59:34.000"/>
        <d v="2022-05-17T21:34:56.000"/>
        <d v="2022-05-17T22:14:22.000"/>
        <d v="2022-05-17T23:50:25.000"/>
        <d v="2022-05-18T02:35:07.000"/>
        <d v="2022-05-18T02:41:08.000"/>
        <d v="2022-05-18T03:45:47.000"/>
        <d v="2022-05-18T21:28:47.000"/>
        <d v="2022-05-18T23:09:54.000"/>
        <d v="2022-05-19T00:54:11.000"/>
      </sharedItems>
      <fieldGroup par="67" base="15">
        <rangePr groupBy="days" autoEnd="1" autoStart="1" startDate="2022-02-08T04:59:54.000" endDate="2022-05-19T00:54:11.000"/>
        <groupItems count="368">
          <s v="&lt;8/0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2-08T04:59:54.000" endDate="2022-05-19T00:54:11.000"/>
        <groupItems count="14">
          <s v="&lt;8/02/2022"/>
          <s v="Jan"/>
          <s v="Feb"/>
          <s v="Mar"/>
          <s v="Apr"/>
          <s v="May"/>
          <s v="Jun"/>
          <s v="Jul"/>
          <s v="Aug"/>
          <s v="Sep"/>
          <s v="Oct"/>
          <s v="Nov"/>
          <s v="Dec"/>
          <s v="&gt;19/05/2022"/>
        </groupItems>
      </fieldGroup>
    </cacheField>
    <cacheField name="Years" databaseField="0">
      <sharedItems containsMixedTypes="0" count="0"/>
      <fieldGroup base="15">
        <rangePr groupBy="years" autoEnd="1" autoStart="1" startDate="2022-02-08T04:59:54.000" endDate="2022-05-19T00:54:11.000"/>
        <groupItems count="3">
          <s v="&lt;8/02/2022"/>
          <s v="2022"/>
          <s v="&gt;19/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08">
  <r>
    <s v="toituenvirocare"/>
    <s v="toituenvirocare"/>
    <m/>
    <m/>
    <m/>
    <m/>
    <m/>
    <m/>
    <m/>
    <m/>
    <s v="No"/>
    <n v="3"/>
    <m/>
    <m/>
    <s v="Tweet"/>
    <x v="0"/>
    <s v="It's brilliant that the government &amp;amp; opposition have agreed on an emission budget 🙌_x000a__x000a_There's lots of work to be done to achieve this &amp;amp; we look forward to the full Emissions Reduction Plan when it's released next week._x000a__x000a_Stay tuned for our analysis..._x000a__x000a_https://t.co/0V9zvTqzyv"/>
    <s v="https://www.beehive.govt.nz/release/aotearoa-sets-course-net-zero-first-three-emissions-budgets?utm_campaign=coschedule&amp;utm_source=twitter&amp;utm_medium=ToituEnvirocare"/>
    <s v="govt.nz"/>
    <m/>
    <m/>
    <s v="https://pbs.twimg.com/profile_images/1192168373024514048/H3yG8qep_normal.png"/>
    <d v="2022-05-10T22:50:06.000"/>
    <d v="2022-05-10T00:00:00.000"/>
    <s v="22:50:06"/>
    <s v="https://twitter.com/toituenvirocare/status/1524159877140008960"/>
    <m/>
    <m/>
    <s v="1524159877140008960"/>
    <m/>
    <b v="0"/>
    <n v="3"/>
    <s v=""/>
    <b v="0"/>
    <s v="en"/>
    <m/>
    <s v=""/>
    <b v="0"/>
    <n v="0"/>
    <s v=""/>
    <s v="CoSchedule"/>
    <b v="0"/>
    <s v="1524159877140008960"/>
    <s v="Tweet"/>
    <n v="0"/>
    <n v="0"/>
    <m/>
    <m/>
    <m/>
    <m/>
    <m/>
    <m/>
    <m/>
    <m/>
    <n v="1"/>
    <s v="2"/>
    <s v="2"/>
    <n v="2"/>
    <n v="4.651162790697675"/>
    <n v="1"/>
    <n v="2.3255813953488373"/>
    <n v="0"/>
    <n v="0"/>
    <n v="40"/>
    <n v="93.02325581395348"/>
    <n v="43"/>
  </r>
  <r>
    <s v="dlrppn"/>
    <s v="dlrppn"/>
    <m/>
    <m/>
    <m/>
    <m/>
    <m/>
    <m/>
    <m/>
    <m/>
    <s v="No"/>
    <n v="4"/>
    <m/>
    <m/>
    <s v="Tweet"/>
    <x v="1"/>
    <s v="Invitation - The launch of the results of the Dublin Region Energy Master Plan on Wednesday, 1st June at 11am._x000a_This Plan provides realistic, evidence-based pathways for the Dublin Region to achieve its carbon emission reduction targets to 2030 and 2050.  _x000a_https://t.co/wpK1zMhF26 https://t.co/knTvOECJKA"/>
    <s v="http://dlrppn.ie/invitation-to-launch-of-the-results-of-the-dublin-region-energy-master-plan/"/>
    <s v="dlrppn.ie"/>
    <m/>
    <s v="https://pbs.twimg.com/media/FSeNSA2X0AAh0K4.jpg"/>
    <s v="https://pbs.twimg.com/media/FSeNSA2X0AAh0K4.jpg"/>
    <d v="2022-05-11T10:56:31.000"/>
    <d v="2022-05-11T00:00:00.000"/>
    <s v="10:56:31"/>
    <s v="https://twitter.com/dlrppn/status/1524342685351485442"/>
    <m/>
    <m/>
    <s v="1524342685351485442"/>
    <m/>
    <b v="0"/>
    <n v="1"/>
    <s v=""/>
    <b v="0"/>
    <s v="en"/>
    <m/>
    <s v=""/>
    <b v="0"/>
    <n v="1"/>
    <s v=""/>
    <s v="Twitter Web App"/>
    <b v="0"/>
    <s v="1524342685351485442"/>
    <s v="Tweet"/>
    <n v="0"/>
    <n v="0"/>
    <m/>
    <m/>
    <m/>
    <m/>
    <m/>
    <m/>
    <m/>
    <m/>
    <n v="1"/>
    <s v="23"/>
    <s v="23"/>
    <n v="2"/>
    <n v="4.878048780487805"/>
    <n v="0"/>
    <n v="0"/>
    <n v="0"/>
    <n v="0"/>
    <n v="39"/>
    <n v="95.1219512195122"/>
    <n v="41"/>
  </r>
  <r>
    <s v="jimgildea2014"/>
    <s v="dlrppn"/>
    <m/>
    <m/>
    <m/>
    <m/>
    <m/>
    <m/>
    <m/>
    <m/>
    <s v="No"/>
    <n v="5"/>
    <m/>
    <m/>
    <s v="Retweet"/>
    <x v="2"/>
    <s v="Invitation - The launch of the results of the Dublin Region Energy Master Plan on Wednesday, 1st June at 11am._x000a_This Plan provides realistic, evidence-based pathways for the Dublin Region to achieve its carbon emission reduction targets to 2030 and 2050.  _x000a_https://t.co/wpK1zMhF26 https://t.co/knTvOECJKA"/>
    <s v="http://dlrppn.ie/invitation-to-launch-of-the-results-of-the-dublin-region-energy-master-plan/"/>
    <s v="dlrppn.ie"/>
    <m/>
    <s v="https://pbs.twimg.com/media/FSeNSA2X0AAh0K4.jpg"/>
    <s v="https://pbs.twimg.com/media/FSeNSA2X0AAh0K4.jpg"/>
    <d v="2022-05-11T11:29:24.000"/>
    <d v="2022-05-11T00:00:00.000"/>
    <s v="11:29:24"/>
    <s v="https://twitter.com/jimgildea2014/status/1524350960851640320"/>
    <m/>
    <m/>
    <s v="1524350960851640320"/>
    <m/>
    <b v="0"/>
    <n v="0"/>
    <s v=""/>
    <b v="0"/>
    <s v="en"/>
    <m/>
    <s v=""/>
    <b v="0"/>
    <n v="1"/>
    <s v="1524342685351485442"/>
    <s v="Twitter for iPhone"/>
    <b v="0"/>
    <s v="1524342685351485442"/>
    <s v="Tweet"/>
    <n v="0"/>
    <n v="0"/>
    <m/>
    <m/>
    <m/>
    <m/>
    <m/>
    <m/>
    <m/>
    <m/>
    <n v="1"/>
    <s v="23"/>
    <s v="23"/>
    <n v="2"/>
    <n v="4.878048780487805"/>
    <n v="0"/>
    <n v="0"/>
    <n v="0"/>
    <n v="0"/>
    <n v="39"/>
    <n v="95.1219512195122"/>
    <n v="41"/>
  </r>
  <r>
    <s v="rich_homewood"/>
    <s v="jamespeshaw"/>
    <m/>
    <m/>
    <m/>
    <m/>
    <m/>
    <m/>
    <m/>
    <m/>
    <s v="No"/>
    <n v="6"/>
    <m/>
    <m/>
    <s v="Mentions"/>
    <x v="3"/>
    <s v="Today FNSF announced a partnership with Aquila Capital to build 1GW of solar across New Zealand! This will be a major boost to the upcoming Emission Reduction Plan to be announced by @jamespeshaw on May 16th! The time for change is now! 💪☀️_x000a__x000a_https://t.co/ljiyaOSaz9"/>
    <s v="https://www.rnz.co.nz/news/business/466954/solar-power-companies-plan-to-start-building-at-multiple-sites"/>
    <s v="co.nz"/>
    <m/>
    <m/>
    <s v="https://pbs.twimg.com/profile_images/759282364371599361/qiX0fEdA_normal.jpg"/>
    <d v="2022-05-12T00:57:15.000"/>
    <d v="2022-05-12T00:00:00.000"/>
    <s v="00:57:15"/>
    <s v="https://twitter.com/rich_homewood/status/1524554261027205120"/>
    <m/>
    <m/>
    <s v="1524554261027205120"/>
    <m/>
    <b v="0"/>
    <n v="3"/>
    <s v=""/>
    <b v="0"/>
    <s v="en"/>
    <m/>
    <s v=""/>
    <b v="0"/>
    <n v="1"/>
    <s v=""/>
    <s v="Twitter Web App"/>
    <b v="0"/>
    <s v="1524554261027205120"/>
    <s v="Tweet"/>
    <n v="0"/>
    <n v="0"/>
    <m/>
    <m/>
    <m/>
    <m/>
    <m/>
    <m/>
    <m/>
    <m/>
    <n v="1"/>
    <s v="13"/>
    <s v="13"/>
    <n v="1"/>
    <n v="2.380952380952381"/>
    <n v="0"/>
    <n v="0"/>
    <n v="0"/>
    <n v="0"/>
    <n v="41"/>
    <n v="97.61904761904762"/>
    <n v="42"/>
  </r>
  <r>
    <s v="isalutem"/>
    <s v="jamespeshaw"/>
    <m/>
    <m/>
    <m/>
    <m/>
    <m/>
    <m/>
    <m/>
    <m/>
    <s v="No"/>
    <n v="7"/>
    <m/>
    <m/>
    <s v="MentionsInRetweet"/>
    <x v="4"/>
    <s v="Today FNSF announced a partnership with Aquila Capital to build 1GW of solar across New Zealand! This will be a major boost to the upcoming Emission Reduction Plan to be announced by @jamespeshaw on May 16th! The time for change is now! 💪☀️_x000a__x000a_https://t.co/ljiyaOSaz9"/>
    <s v="https://www.rnz.co.nz/news/business/466954/solar-power-companies-plan-to-start-building-at-multiple-sites"/>
    <s v="co.nz"/>
    <m/>
    <m/>
    <s v="https://pbs.twimg.com/profile_images/1364092440911568896/Q-iuTOXG_normal.jpg"/>
    <d v="2022-05-12T08:53:07.000"/>
    <d v="2022-05-12T00:00:00.000"/>
    <s v="08:53:07"/>
    <s v="https://twitter.com/isalutem/status/1524674016350728192"/>
    <m/>
    <m/>
    <s v="1524674016350728192"/>
    <m/>
    <b v="0"/>
    <n v="0"/>
    <s v=""/>
    <b v="0"/>
    <s v="en"/>
    <m/>
    <s v=""/>
    <b v="0"/>
    <n v="1"/>
    <s v="1524554261027205120"/>
    <s v="Twitter for Android"/>
    <b v="0"/>
    <s v="1524554261027205120"/>
    <s v="Tweet"/>
    <n v="0"/>
    <n v="0"/>
    <m/>
    <m/>
    <m/>
    <m/>
    <m/>
    <m/>
    <m/>
    <m/>
    <n v="1"/>
    <s v="13"/>
    <s v="13"/>
    <m/>
    <m/>
    <m/>
    <m/>
    <m/>
    <m/>
    <m/>
    <m/>
    <m/>
  </r>
  <r>
    <s v="matthewprimous"/>
    <s v="matthewprimous"/>
    <m/>
    <m/>
    <m/>
    <m/>
    <m/>
    <m/>
    <m/>
    <m/>
    <s v="No"/>
    <n v="9"/>
    <m/>
    <m/>
    <s v="Tweet"/>
    <x v="5"/>
    <s v="Integrity Intrigue Innovation Inc. investment at work: Jet Token Inc. authorizes Carbon Emissions Reduction plan with Terrapass. HondaJet Elite S is highly efficient, and business aviation overall only represents 0.2% of global greenhouse gas emissions, every emission counts."/>
    <m/>
    <m/>
    <m/>
    <m/>
    <s v="https://pbs.twimg.com/profile_images/1427746641507926017/U0lqvD2s_normal.jpg"/>
    <d v="2022-05-12T17:46:24.000"/>
    <d v="2022-05-12T00:00:00.000"/>
    <s v="17:46:24"/>
    <s v="https://twitter.com/matthewprimous/status/1524808223693447168"/>
    <m/>
    <m/>
    <s v="1524808223693447168"/>
    <m/>
    <b v="0"/>
    <n v="0"/>
    <s v=""/>
    <b v="0"/>
    <s v="en"/>
    <m/>
    <s v=""/>
    <b v="0"/>
    <n v="0"/>
    <s v=""/>
    <s v="Twitter Web App"/>
    <b v="0"/>
    <s v="1524808223693447168"/>
    <s v="Tweet"/>
    <n v="0"/>
    <n v="0"/>
    <m/>
    <m/>
    <m/>
    <m/>
    <m/>
    <m/>
    <m/>
    <m/>
    <n v="1"/>
    <s v="2"/>
    <s v="2"/>
    <n v="5"/>
    <n v="12.820512820512821"/>
    <n v="0"/>
    <n v="0"/>
    <n v="0"/>
    <n v="0"/>
    <n v="34"/>
    <n v="87.17948717948718"/>
    <n v="39"/>
  </r>
  <r>
    <s v="globalcompactsa"/>
    <s v="globalcompactsa"/>
    <m/>
    <m/>
    <m/>
    <m/>
    <m/>
    <m/>
    <m/>
    <m/>
    <s v="No"/>
    <n v="10"/>
    <m/>
    <m/>
    <s v="Tweet"/>
    <x v="6"/>
    <s v="Registrations close today for our #ClimateAmbition Accelerator. Join companies on this six-month journey that motivates investors, leadership, employees &amp;amp; shareholders with an emission reduction plan that sets your organization apart in the market. _x000a_Join: https://t.co/76yaZF2b7N https://t.co/e7FDKDU0ca"/>
    <s v="https://unglobalcompact.org/take-action/climate-ambition-accelerator"/>
    <s v="unglobalcompact.org"/>
    <s v="climateambition"/>
    <s v="https://pbs.twimg.com/media/FSoKs7dWAAEQKg0.jpg"/>
    <s v="https://pbs.twimg.com/media/FSoKs7dWAAEQKg0.jpg"/>
    <d v="2022-05-13T09:39:12.000"/>
    <d v="2022-05-13T00:00:00.000"/>
    <s v="09:39:12"/>
    <s v="https://twitter.com/globalcompactsa/status/1525048001345073153"/>
    <m/>
    <m/>
    <s v="1525048001345073153"/>
    <m/>
    <b v="0"/>
    <n v="1"/>
    <s v=""/>
    <b v="0"/>
    <s v="en"/>
    <m/>
    <s v=""/>
    <b v="0"/>
    <n v="0"/>
    <s v=""/>
    <s v="Twitter Web App"/>
    <b v="0"/>
    <s v="1525048001345073153"/>
    <s v="Tweet"/>
    <n v="0"/>
    <n v="0"/>
    <m/>
    <m/>
    <m/>
    <m/>
    <m/>
    <m/>
    <m/>
    <m/>
    <n v="1"/>
    <s v="2"/>
    <s v="2"/>
    <n v="0"/>
    <n v="0"/>
    <n v="0"/>
    <n v="0"/>
    <n v="0"/>
    <n v="0"/>
    <n v="35"/>
    <n v="100"/>
    <n v="35"/>
  </r>
  <r>
    <s v="lawler_consult"/>
    <s v="lawler_consult"/>
    <m/>
    <m/>
    <m/>
    <m/>
    <m/>
    <m/>
    <m/>
    <m/>
    <s v="No"/>
    <n v="11"/>
    <m/>
    <m/>
    <s v="Tweet"/>
    <x v="7"/>
    <s v="Ireland has recently launched its Climate Action Plan which has legally committed to achieving a net-zero greenhouse gas emission target by no later than 2050 and an overall reduction of 51% by 2030._x000a__x000a_Learn how you can achieve this here: https://t.co/H5AGH5ggCY_x000a__x000a_#netzero #ireland https://t.co/Jc3rh1azzf"/>
    <s v="https://lawlerconsulting.com/your-road-to-net-zero-in-2022/"/>
    <s v="lawlerconsulting.com"/>
    <s v="netzero ireland"/>
    <s v="https://pbs.twimg.com/ext_tw_video_thumb/1525053484244078592/pu/img/Ukhjqo7RuwpHY3vW.jpg"/>
    <s v="https://pbs.twimg.com/ext_tw_video_thumb/1525053484244078592/pu/img/Ukhjqo7RuwpHY3vW.jpg"/>
    <d v="2022-05-13T10:01:06.000"/>
    <d v="2022-05-13T00:00:00.000"/>
    <s v="10:01:06"/>
    <s v="https://twitter.com/lawler_consult/status/1525053515269386241"/>
    <m/>
    <m/>
    <s v="1525053515269386241"/>
    <m/>
    <b v="0"/>
    <n v="0"/>
    <s v=""/>
    <b v="0"/>
    <s v="en"/>
    <m/>
    <s v=""/>
    <b v="0"/>
    <n v="0"/>
    <s v=""/>
    <s v="Agorapulse app"/>
    <b v="0"/>
    <s v="1525053515269386241"/>
    <s v="Tweet"/>
    <n v="0"/>
    <n v="0"/>
    <m/>
    <m/>
    <m/>
    <m/>
    <m/>
    <m/>
    <m/>
    <m/>
    <n v="1"/>
    <s v="2"/>
    <s v="2"/>
    <n v="0"/>
    <n v="0"/>
    <n v="0"/>
    <n v="0"/>
    <n v="0"/>
    <n v="0"/>
    <n v="43"/>
    <n v="100"/>
    <n v="43"/>
  </r>
  <r>
    <s v="michaelpolanyi"/>
    <s v="iata"/>
    <m/>
    <m/>
    <m/>
    <m/>
    <m/>
    <m/>
    <m/>
    <m/>
    <s v="No"/>
    <n v="12"/>
    <m/>
    <m/>
    <s v="Mentions"/>
    <x v="8"/>
    <s v="Why does @IATA recognize the importance of reducing GHG emissions by 2030, yet refuse to include a 2030 emission reduction target in its Fly Net Zero plan? https://t.co/ght5uLjFcX"/>
    <s v="https://twitter.com/IATA/status/1525109197192429568"/>
    <s v="twitter.com"/>
    <m/>
    <m/>
    <s v="https://pbs.twimg.com/profile_images/1237189879114674176/bNuhtQ-a_normal.jpg"/>
    <d v="2022-05-13T13:51:33.000"/>
    <d v="2022-05-13T00:00:00.000"/>
    <s v="13:51:33"/>
    <s v="https://twitter.com/michaelpolanyi/status/1525111510095339520"/>
    <m/>
    <m/>
    <s v="1525111510095339520"/>
    <m/>
    <b v="0"/>
    <n v="1"/>
    <s v=""/>
    <b v="1"/>
    <s v="en"/>
    <m/>
    <s v="1525109197192429568"/>
    <b v="0"/>
    <n v="0"/>
    <s v=""/>
    <s v="Twitter Web App"/>
    <b v="0"/>
    <s v="1525111510095339520"/>
    <s v="Tweet"/>
    <n v="0"/>
    <n v="0"/>
    <m/>
    <m/>
    <m/>
    <m/>
    <m/>
    <m/>
    <m/>
    <m/>
    <n v="1"/>
    <s v="22"/>
    <s v="22"/>
    <n v="0"/>
    <n v="0"/>
    <n v="1"/>
    <n v="3.7037037037037037"/>
    <n v="0"/>
    <n v="0"/>
    <n v="26"/>
    <n v="96.29629629629629"/>
    <n v="27"/>
  </r>
  <r>
    <s v="nzstuffpolitics"/>
    <s v="nzstuffpolitics"/>
    <m/>
    <m/>
    <m/>
    <m/>
    <m/>
    <m/>
    <m/>
    <m/>
    <s v="No"/>
    <n v="13"/>
    <m/>
    <m/>
    <s v="Tweet"/>
    <x v="9"/>
    <s v="OPINION: The new plan will lay out how New Zealand plans to cut carbon - but the ensuing debate will show just how much cash-strapped voters prioritise it. https://t.co/qlYJWUCQDy"/>
    <s v="https://www.stuff.co.nz/national/politics/opinion/128635128/the-new-emission-reduction-plan-will-reveal-just-how-much-we-care-about-climate.html?utm_source=dlvr.it&amp;utm_medium=twitter"/>
    <s v="co.nz"/>
    <m/>
    <m/>
    <s v="https://pbs.twimg.com/profile_images/740645735452925952/Du900SbT_normal.jpg"/>
    <d v="2022-05-13T17:05:10.000"/>
    <d v="2022-05-13T00:00:00.000"/>
    <s v="17:05:10"/>
    <s v="https://twitter.com/nzstuffpolitics/status/1525160235521806336"/>
    <m/>
    <m/>
    <s v="1525160235521806336"/>
    <m/>
    <b v="0"/>
    <n v="0"/>
    <s v=""/>
    <b v="0"/>
    <s v="en"/>
    <m/>
    <s v=""/>
    <b v="0"/>
    <n v="0"/>
    <s v=""/>
    <s v="dlvr.it"/>
    <b v="0"/>
    <s v="1525160235521806336"/>
    <s v="Tweet"/>
    <n v="0"/>
    <n v="0"/>
    <m/>
    <m/>
    <m/>
    <m/>
    <m/>
    <m/>
    <m/>
    <m/>
    <n v="1"/>
    <s v="2"/>
    <s v="2"/>
    <n v="0"/>
    <n v="0"/>
    <n v="0"/>
    <n v="0"/>
    <n v="0"/>
    <n v="0"/>
    <n v="28"/>
    <n v="100"/>
    <n v="28"/>
  </r>
  <r>
    <s v="falconseaknight"/>
    <s v="falconseaknight"/>
    <m/>
    <m/>
    <m/>
    <m/>
    <m/>
    <m/>
    <m/>
    <m/>
    <s v="No"/>
    <n v="14"/>
    <m/>
    <m/>
    <s v="Tweet"/>
    <x v="10"/>
    <s v="“The plan calls for building the equivalent of at least 33 new large gas power plants, according to estimates from Sierra Club California, and ‘relies on expensive and unproven technology’ in the form of carbon capture and sequestration to meet its emission reduction targets.”"/>
    <m/>
    <m/>
    <m/>
    <m/>
    <s v="https://pbs.twimg.com/profile_images/1287525164721217536/ityBBCEJ_normal.jpg"/>
    <d v="2022-05-13T18:49:48.000"/>
    <d v="2022-05-13T00:00:00.000"/>
    <s v="18:49:48"/>
    <s v="https://twitter.com/falconseaknight/status/1525186567442006016"/>
    <m/>
    <m/>
    <s v="1525186567442006016"/>
    <s v="1525186565940473856"/>
    <b v="0"/>
    <n v="0"/>
    <s v="1253385421712535552"/>
    <b v="0"/>
    <s v="en"/>
    <m/>
    <s v=""/>
    <b v="0"/>
    <n v="0"/>
    <s v=""/>
    <s v="Twitter for iPhone"/>
    <b v="0"/>
    <s v="1525186565940473856"/>
    <s v="Tweet"/>
    <n v="0"/>
    <n v="0"/>
    <m/>
    <m/>
    <m/>
    <m/>
    <m/>
    <m/>
    <m/>
    <m/>
    <n v="1"/>
    <s v="2"/>
    <s v="2"/>
    <n v="0"/>
    <n v="0"/>
    <n v="2"/>
    <n v="4.545454545454546"/>
    <n v="0"/>
    <n v="0"/>
    <n v="42"/>
    <n v="95.45454545454545"/>
    <n v="44"/>
  </r>
  <r>
    <s v="annacwhyte"/>
    <s v="annacwhyte"/>
    <m/>
    <m/>
    <m/>
    <m/>
    <m/>
    <m/>
    <m/>
    <m/>
    <s v="No"/>
    <n v="15"/>
    <m/>
    <m/>
    <s v="Tweet"/>
    <x v="11"/>
    <s v="She'll be missing a big week in Parliament. We've got the emission reduction plan on Monday and Budget 2022 on Thursday. https://t.co/MmKs9joMZy"/>
    <m/>
    <m/>
    <m/>
    <s v="https://pbs.twimg.com/media/FSq4kzxaQAArdKu.jpg"/>
    <s v="https://pbs.twimg.com/media/FSq4kzxaQAArdKu.jpg"/>
    <d v="2022-05-13T21:59:45.000"/>
    <d v="2022-05-13T00:00:00.000"/>
    <s v="21:59:45"/>
    <s v="https://twitter.com/annacwhyte/status/1525234369430179840"/>
    <m/>
    <m/>
    <s v="1525234369430179840"/>
    <s v="1525233880139460609"/>
    <b v="0"/>
    <n v="1"/>
    <s v="1437080810"/>
    <b v="0"/>
    <s v="en"/>
    <m/>
    <s v=""/>
    <b v="0"/>
    <n v="0"/>
    <s v=""/>
    <s v="Twitter for Android"/>
    <b v="0"/>
    <s v="1525233880139460609"/>
    <s v="Tweet"/>
    <n v="0"/>
    <n v="0"/>
    <m/>
    <m/>
    <m/>
    <m/>
    <m/>
    <m/>
    <m/>
    <m/>
    <n v="1"/>
    <s v="2"/>
    <s v="2"/>
    <n v="0"/>
    <n v="0"/>
    <n v="0"/>
    <n v="0"/>
    <n v="0"/>
    <n v="0"/>
    <n v="21"/>
    <n v="100"/>
    <n v="21"/>
  </r>
  <r>
    <s v="ddub_news"/>
    <s v="ddub_news"/>
    <m/>
    <m/>
    <m/>
    <m/>
    <m/>
    <m/>
    <m/>
    <m/>
    <s v="No"/>
    <n v="16"/>
    <m/>
    <m/>
    <s v="Tweet"/>
    <x v="12"/>
    <s v="&quot;If it ends up with a muddle of plans that are neither fish nor fowl – or ropey industry support dressed up as climate policy – and which won't cut emissions by much, it may find itself under serious pressure from all sides.&quot; https://t.co/ZTrdSmuA0W"/>
    <s v="https://www.stuff.co.nz/national/politics/opinion/128635128/the-new-emission-reduction-plan-will-reveal-just-how-much-we-care-about-climate"/>
    <s v="co.nz"/>
    <m/>
    <m/>
    <s v="https://pbs.twimg.com/profile_images/1479682990871511041/ZLjodGMW_normal.jpg"/>
    <d v="2022-05-14T02:55:42.000"/>
    <d v="2022-05-14T00:00:00.000"/>
    <s v="02:55:42"/>
    <s v="https://twitter.com/ddub_news/status/1525308847032012800"/>
    <m/>
    <m/>
    <s v="1525308847032012800"/>
    <m/>
    <b v="0"/>
    <n v="0"/>
    <s v=""/>
    <b v="0"/>
    <s v="en"/>
    <m/>
    <s v=""/>
    <b v="0"/>
    <n v="0"/>
    <s v=""/>
    <s v="Twitter Web App"/>
    <b v="0"/>
    <s v="1525308847032012800"/>
    <s v="Tweet"/>
    <n v="0"/>
    <n v="0"/>
    <m/>
    <m/>
    <m/>
    <m/>
    <m/>
    <m/>
    <m/>
    <m/>
    <n v="1"/>
    <s v="2"/>
    <s v="2"/>
    <n v="1"/>
    <n v="2.4390243902439024"/>
    <n v="1"/>
    <n v="2.4390243902439024"/>
    <n v="0"/>
    <n v="0"/>
    <n v="39"/>
    <n v="95.1219512195122"/>
    <n v="41"/>
  </r>
  <r>
    <s v="peggymel2001"/>
    <s v="joshfrydenberg"/>
    <m/>
    <m/>
    <m/>
    <m/>
    <m/>
    <m/>
    <m/>
    <m/>
    <s v="No"/>
    <n v="17"/>
    <m/>
    <m/>
    <s v="MentionsInRetweet"/>
    <x v="13"/>
    <s v="&quot;What is most important is not a target, but the plan.&quot;_x000a__x000a_@David_Speers asks @JoshFrydenberg why the Liberal Party won't move on a 2030 emission reduction target #Insiders #auspol https://t.co/oIFFCHmbI1"/>
    <m/>
    <m/>
    <s v="insiders auspol"/>
    <s v="https://pbs.twimg.com/amplify_video_thumb/1525624009236582400/img/pkRqNLkArsbX7wZC.jpg"/>
    <s v="https://pbs.twimg.com/amplify_video_thumb/1525624009236582400/img/pkRqNLkArsbX7wZC.jpg"/>
    <d v="2022-05-14T23:52:19.000"/>
    <d v="2022-05-14T00:00:00.000"/>
    <s v="23:52:19"/>
    <s v="https://twitter.com/peggymel2001/status/1525625085037793281"/>
    <m/>
    <m/>
    <s v="1525625085037793281"/>
    <m/>
    <b v="0"/>
    <n v="0"/>
    <s v=""/>
    <b v="0"/>
    <s v="en"/>
    <m/>
    <s v=""/>
    <b v="0"/>
    <n v="5"/>
    <s v="1525624545507700736"/>
    <s v="Twitter for iPad"/>
    <b v="0"/>
    <s v="1525624545507700736"/>
    <s v="Tweet"/>
    <n v="0"/>
    <n v="0"/>
    <m/>
    <m/>
    <m/>
    <m/>
    <m/>
    <m/>
    <m/>
    <m/>
    <n v="1"/>
    <s v="7"/>
    <s v="7"/>
    <m/>
    <m/>
    <m/>
    <m/>
    <m/>
    <m/>
    <m/>
    <m/>
    <m/>
  </r>
  <r>
    <s v="abcnews"/>
    <s v="joshfrydenberg"/>
    <m/>
    <m/>
    <m/>
    <m/>
    <m/>
    <m/>
    <m/>
    <m/>
    <s v="No"/>
    <n v="20"/>
    <m/>
    <m/>
    <s v="Mentions"/>
    <x v="14"/>
    <s v="&quot;What is most important is not a target, but the plan.&quot;_x000a__x000a_@David_Speers asks @JoshFrydenberg why the Liberal Party won't move on a 2030 emission reduction target #Insiders #auspol https://t.co/oIFFCHmbI1"/>
    <m/>
    <m/>
    <s v="insiders auspol"/>
    <s v="https://pbs.twimg.com/amplify_video_thumb/1525624009236582400/img/pkRqNLkArsbX7wZC.jpg"/>
    <s v="https://pbs.twimg.com/amplify_video_thumb/1525624009236582400/img/pkRqNLkArsbX7wZC.jpg"/>
    <d v="2022-05-14T23:50:11.000"/>
    <d v="2022-05-14T00:00:00.000"/>
    <s v="23:50:11"/>
    <s v="https://twitter.com/abcnews/status/1525624545507700736"/>
    <m/>
    <m/>
    <s v="1525624545507700736"/>
    <m/>
    <b v="0"/>
    <n v="14"/>
    <s v=""/>
    <b v="0"/>
    <s v="en"/>
    <m/>
    <s v=""/>
    <b v="0"/>
    <n v="5"/>
    <s v=""/>
    <s v="Twitter Media Studio - LiveCut"/>
    <b v="0"/>
    <s v="1525624545507700736"/>
    <s v="Tweet"/>
    <n v="0"/>
    <n v="0"/>
    <m/>
    <m/>
    <m/>
    <m/>
    <m/>
    <m/>
    <m/>
    <m/>
    <n v="1"/>
    <s v="7"/>
    <s v="7"/>
    <m/>
    <m/>
    <m/>
    <m/>
    <m/>
    <m/>
    <m/>
    <m/>
    <m/>
  </r>
  <r>
    <s v="zazava"/>
    <s v="joshfrydenberg"/>
    <m/>
    <m/>
    <m/>
    <m/>
    <m/>
    <m/>
    <m/>
    <m/>
    <s v="No"/>
    <n v="21"/>
    <m/>
    <m/>
    <s v="MentionsInRetweet"/>
    <x v="15"/>
    <s v="&quot;What is most important is not a target, but the plan.&quot;_x000a__x000a_@David_Speers asks @JoshFrydenberg why the Liberal Party won't move on a 2030 emission reduction target #Insiders #auspol https://t.co/oIFFCHmbI1"/>
    <m/>
    <m/>
    <s v="insiders auspol"/>
    <s v="https://pbs.twimg.com/amplify_video_thumb/1525624009236582400/img/pkRqNLkArsbX7wZC.jpg"/>
    <s v="https://pbs.twimg.com/amplify_video_thumb/1525624009236582400/img/pkRqNLkArsbX7wZC.jpg"/>
    <d v="2022-05-14T23:53:18.000"/>
    <d v="2022-05-14T00:00:00.000"/>
    <s v="23:53:18"/>
    <s v="https://twitter.com/zazava/status/1525625332803305473"/>
    <m/>
    <m/>
    <s v="1525625332803305473"/>
    <m/>
    <b v="0"/>
    <n v="0"/>
    <s v=""/>
    <b v="0"/>
    <s v="en"/>
    <m/>
    <s v=""/>
    <b v="0"/>
    <n v="5"/>
    <s v="1525624545507700736"/>
    <s v="Twitter Web App"/>
    <b v="0"/>
    <s v="1525624545507700736"/>
    <s v="Tweet"/>
    <n v="0"/>
    <n v="0"/>
    <m/>
    <m/>
    <m/>
    <m/>
    <m/>
    <m/>
    <m/>
    <m/>
    <n v="1"/>
    <s v="7"/>
    <s v="7"/>
    <m/>
    <m/>
    <m/>
    <m/>
    <m/>
    <m/>
    <m/>
    <m/>
    <m/>
  </r>
  <r>
    <s v="babahererra"/>
    <s v="toluogunlesi"/>
    <m/>
    <m/>
    <m/>
    <m/>
    <m/>
    <m/>
    <m/>
    <m/>
    <s v="No"/>
    <n v="25"/>
    <m/>
    <m/>
    <s v="Retweet"/>
    <x v="16"/>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518150919782899712/jXSikTdV_normal.jpg"/>
    <d v="2022-05-15T12:59:53.000"/>
    <d v="2022-05-15T00:00:00.000"/>
    <s v="12:59:53"/>
    <s v="https://twitter.com/babahererra/status/1525823281756098561"/>
    <m/>
    <m/>
    <s v="1525823281756098561"/>
    <m/>
    <b v="0"/>
    <n v="0"/>
    <s v=""/>
    <b v="0"/>
    <s v="en"/>
    <m/>
    <s v=""/>
    <b v="0"/>
    <n v="68"/>
    <s v="1490913253702045697"/>
    <s v="Twitter for Android"/>
    <b v="0"/>
    <s v="1490913253702045697"/>
    <s v="Tweet"/>
    <n v="0"/>
    <n v="0"/>
    <m/>
    <m/>
    <m/>
    <m/>
    <m/>
    <m/>
    <m/>
    <m/>
    <n v="1"/>
    <s v="5"/>
    <s v="5"/>
    <n v="0"/>
    <n v="0"/>
    <n v="0"/>
    <n v="0"/>
    <n v="0"/>
    <n v="0"/>
    <n v="45"/>
    <n v="100"/>
    <n v="45"/>
  </r>
  <r>
    <s v="imam_president"/>
    <s v="toluogunlesi"/>
    <m/>
    <m/>
    <m/>
    <m/>
    <m/>
    <m/>
    <m/>
    <m/>
    <s v="No"/>
    <n v="26"/>
    <m/>
    <m/>
    <s v="Retweet"/>
    <x v="17"/>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508195568698413058/bpUXOoE4_normal.jpg"/>
    <d v="2022-05-15T13:21:20.000"/>
    <d v="2022-05-15T00:00:00.000"/>
    <s v="13:21:20"/>
    <s v="https://twitter.com/imam_president/status/1525828679259111424"/>
    <m/>
    <m/>
    <s v="1525828679259111424"/>
    <m/>
    <b v="0"/>
    <n v="0"/>
    <s v=""/>
    <b v="0"/>
    <s v="en"/>
    <m/>
    <s v=""/>
    <b v="0"/>
    <n v="68"/>
    <s v="1490913253702045697"/>
    <s v="Twitter for iPhone"/>
    <b v="0"/>
    <s v="1490913253702045697"/>
    <s v="Tweet"/>
    <n v="0"/>
    <n v="0"/>
    <m/>
    <m/>
    <m/>
    <m/>
    <m/>
    <m/>
    <m/>
    <m/>
    <n v="1"/>
    <s v="5"/>
    <s v="5"/>
    <n v="0"/>
    <n v="0"/>
    <n v="0"/>
    <n v="0"/>
    <n v="0"/>
    <n v="0"/>
    <n v="45"/>
    <n v="100"/>
    <n v="45"/>
  </r>
  <r>
    <s v="muribond"/>
    <s v="toluogunlesi"/>
    <m/>
    <m/>
    <m/>
    <m/>
    <m/>
    <m/>
    <m/>
    <m/>
    <s v="No"/>
    <n v="27"/>
    <m/>
    <m/>
    <s v="Retweet"/>
    <x v="18"/>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317056521793142785/iGbW_tKz_normal.jpg"/>
    <d v="2022-05-15T13:58:29.000"/>
    <d v="2022-05-15T00:00:00.000"/>
    <s v="13:58:29"/>
    <s v="https://twitter.com/muribond/status/1525838028215812097"/>
    <m/>
    <m/>
    <s v="1525838028215812097"/>
    <m/>
    <b v="0"/>
    <n v="0"/>
    <s v=""/>
    <b v="0"/>
    <s v="en"/>
    <m/>
    <s v=""/>
    <b v="0"/>
    <n v="68"/>
    <s v="1490913253702045697"/>
    <s v="Twitter for Android"/>
    <b v="0"/>
    <s v="1490913253702045697"/>
    <s v="Tweet"/>
    <n v="0"/>
    <n v="0"/>
    <m/>
    <m/>
    <m/>
    <m/>
    <m/>
    <m/>
    <m/>
    <m/>
    <n v="1"/>
    <s v="5"/>
    <s v="5"/>
    <n v="0"/>
    <n v="0"/>
    <n v="0"/>
    <n v="0"/>
    <n v="0"/>
    <n v="0"/>
    <n v="45"/>
    <n v="100"/>
    <n v="45"/>
  </r>
  <r>
    <s v="waziriey17"/>
    <s v="toluogunlesi"/>
    <m/>
    <m/>
    <m/>
    <m/>
    <m/>
    <m/>
    <m/>
    <m/>
    <s v="No"/>
    <n v="28"/>
    <m/>
    <m/>
    <s v="Retweet"/>
    <x v="19"/>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376322234462187526/MkVDkuAa_normal.jpg"/>
    <d v="2022-05-15T14:36:55.000"/>
    <d v="2022-05-15T00:00:00.000"/>
    <s v="14:36:55"/>
    <s v="https://twitter.com/waziriey17/status/1525847700712873984"/>
    <m/>
    <m/>
    <s v="1525847700712873984"/>
    <m/>
    <b v="0"/>
    <n v="0"/>
    <s v=""/>
    <b v="0"/>
    <s v="en"/>
    <m/>
    <s v=""/>
    <b v="0"/>
    <n v="68"/>
    <s v="1490913253702045697"/>
    <s v="Twitter for iPhone"/>
    <b v="0"/>
    <s v="1490913253702045697"/>
    <s v="Tweet"/>
    <n v="0"/>
    <n v="0"/>
    <m/>
    <m/>
    <m/>
    <m/>
    <m/>
    <m/>
    <m/>
    <m/>
    <n v="1"/>
    <s v="5"/>
    <s v="5"/>
    <n v="0"/>
    <n v="0"/>
    <n v="0"/>
    <n v="0"/>
    <n v="0"/>
    <n v="0"/>
    <n v="45"/>
    <n v="100"/>
    <n v="45"/>
  </r>
  <r>
    <s v="toluogunlesi"/>
    <s v="toluogunlesi"/>
    <m/>
    <m/>
    <m/>
    <m/>
    <m/>
    <m/>
    <m/>
    <m/>
    <s v="No"/>
    <n v="29"/>
    <m/>
    <m/>
    <s v="Tweet"/>
    <x v="20"/>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482457243559907336/hRHcrV2a_normal.jpg"/>
    <d v="2022-02-08T04:59:54.000"/>
    <d v="2022-02-08T00:00:00.000"/>
    <s v="04:59:54"/>
    <s v="https://twitter.com/toluogunlesi/status/1490913253702045697"/>
    <m/>
    <m/>
    <s v="1490913253702045697"/>
    <m/>
    <b v="0"/>
    <n v="126"/>
    <s v=""/>
    <b v="0"/>
    <s v="en"/>
    <m/>
    <s v=""/>
    <b v="0"/>
    <n v="68"/>
    <s v=""/>
    <s v="Twitter for iPhone"/>
    <b v="0"/>
    <s v="1490913253702045697"/>
    <s v="Retweet"/>
    <n v="0"/>
    <n v="0"/>
    <m/>
    <m/>
    <m/>
    <m/>
    <m/>
    <m/>
    <m/>
    <m/>
    <n v="2"/>
    <s v="5"/>
    <s v="5"/>
    <n v="0"/>
    <n v="0"/>
    <n v="0"/>
    <n v="0"/>
    <n v="0"/>
    <n v="0"/>
    <n v="45"/>
    <n v="100"/>
    <n v="45"/>
  </r>
  <r>
    <s v="toluogunlesi"/>
    <s v="toluogunlesi"/>
    <m/>
    <m/>
    <m/>
    <m/>
    <m/>
    <m/>
    <m/>
    <m/>
    <s v="No"/>
    <n v="30"/>
    <m/>
    <m/>
    <s v="Retweet"/>
    <x v="21"/>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482457243559907336/hRHcrV2a_normal.jpg"/>
    <d v="2022-05-15T12:23:03.000"/>
    <d v="2022-05-15T00:00:00.000"/>
    <s v="12:23:03"/>
    <s v="https://twitter.com/toluogunlesi/status/1525814012985978882"/>
    <m/>
    <m/>
    <s v="1525814012985978882"/>
    <m/>
    <b v="0"/>
    <n v="0"/>
    <s v=""/>
    <b v="0"/>
    <s v="en"/>
    <m/>
    <s v=""/>
    <b v="0"/>
    <n v="68"/>
    <s v="1490913253702045697"/>
    <s v="Twitter for iPhone"/>
    <b v="0"/>
    <s v="1490913253702045697"/>
    <s v="Tweet"/>
    <n v="0"/>
    <n v="0"/>
    <m/>
    <m/>
    <m/>
    <m/>
    <m/>
    <m/>
    <m/>
    <m/>
    <n v="2"/>
    <s v="5"/>
    <s v="5"/>
    <n v="0"/>
    <n v="0"/>
    <n v="0"/>
    <n v="0"/>
    <n v="0"/>
    <n v="0"/>
    <n v="45"/>
    <n v="100"/>
    <n v="45"/>
  </r>
  <r>
    <s v="sololurd"/>
    <s v="toluogunlesi"/>
    <m/>
    <m/>
    <m/>
    <m/>
    <m/>
    <m/>
    <m/>
    <m/>
    <s v="No"/>
    <n v="31"/>
    <m/>
    <m/>
    <s v="Retweet"/>
    <x v="22"/>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518508733110034433/Mu1z6aVf_normal.jpg"/>
    <d v="2022-05-15T18:52:11.000"/>
    <d v="2022-05-15T00:00:00.000"/>
    <s v="18:52:11"/>
    <s v="https://twitter.com/sololurd/status/1525911941365272577"/>
    <m/>
    <m/>
    <s v="1525911941365272577"/>
    <m/>
    <b v="0"/>
    <n v="0"/>
    <s v=""/>
    <b v="0"/>
    <s v="en"/>
    <m/>
    <s v=""/>
    <b v="0"/>
    <n v="68"/>
    <s v="1490913253702045697"/>
    <s v="Twitter for iPhone"/>
    <b v="0"/>
    <s v="1490913253702045697"/>
    <s v="Tweet"/>
    <n v="0"/>
    <n v="0"/>
    <m/>
    <m/>
    <m/>
    <m/>
    <m/>
    <m/>
    <m/>
    <m/>
    <n v="1"/>
    <s v="5"/>
    <s v="5"/>
    <n v="0"/>
    <n v="0"/>
    <n v="0"/>
    <n v="0"/>
    <n v="0"/>
    <n v="0"/>
    <n v="45"/>
    <n v="100"/>
    <n v="45"/>
  </r>
  <r>
    <s v="tovaobrien"/>
    <s v="tovaobrien"/>
    <m/>
    <m/>
    <m/>
    <m/>
    <m/>
    <m/>
    <m/>
    <m/>
    <s v="No"/>
    <n v="32"/>
    <m/>
    <m/>
    <s v="Tweet"/>
    <x v="23"/>
    <s v="Happy Monday from TOVA! 8am Russel Norman on Greenpeace’s emission reduction plan wishlist 8.09 Fed Farmers on what the plan will mean for them 8.19 Health strike 8.32 And got no money? Learn how to change everything from a top financial reporter who taught herself how to budget"/>
    <m/>
    <m/>
    <m/>
    <m/>
    <s v="https://pbs.twimg.com/profile_images/1505662173724708864/8XbOtRBE_normal.jpg"/>
    <d v="2022-05-15T19:34:04.000"/>
    <d v="2022-05-15T00:00:00.000"/>
    <s v="19:34:04"/>
    <s v="https://twitter.com/tovaobrien/status/1525922481651200000"/>
    <m/>
    <m/>
    <s v="1525922481651200000"/>
    <m/>
    <b v="0"/>
    <n v="7"/>
    <s v=""/>
    <b v="0"/>
    <s v="en"/>
    <m/>
    <s v=""/>
    <b v="0"/>
    <n v="0"/>
    <s v=""/>
    <s v="Twitter Web App"/>
    <b v="0"/>
    <s v="1525922481651200000"/>
    <s v="Tweet"/>
    <n v="0"/>
    <n v="0"/>
    <m/>
    <m/>
    <m/>
    <m/>
    <m/>
    <m/>
    <m/>
    <m/>
    <n v="1"/>
    <s v="2"/>
    <s v="2"/>
    <n v="2"/>
    <n v="3.8461538461538463"/>
    <n v="1"/>
    <n v="1.9230769230769231"/>
    <n v="0"/>
    <n v="0"/>
    <n v="49"/>
    <n v="94.23076923076923"/>
    <n v="52"/>
  </r>
  <r>
    <s v="eco1start"/>
    <s v="cyclingactionnz"/>
    <m/>
    <m/>
    <m/>
    <m/>
    <m/>
    <m/>
    <m/>
    <m/>
    <s v="No"/>
    <n v="33"/>
    <m/>
    <m/>
    <s v="MentionsInRetweet"/>
    <x v="24"/>
    <s v="Emission Reduction Plan @CyclingActionNZ #ClimateAction #nzpol #fun #easy #affordable #popular https://t.co/lg9AqHKlaz"/>
    <m/>
    <m/>
    <s v="climateaction nzpol fun easy affordable popular"/>
    <s v="https://pbs.twimg.com/media/FS0sq1YaAAAqw4o.jpg"/>
    <s v="https://pbs.twimg.com/media/FS0sq1YaAAAqw4o.jpg"/>
    <d v="2022-05-15T19:52:46.000"/>
    <d v="2022-05-15T00:00:00.000"/>
    <s v="19:52:46"/>
    <s v="https://twitter.com/eco1start/status/1525927189136416768"/>
    <m/>
    <m/>
    <s v="1525927189136416768"/>
    <m/>
    <b v="0"/>
    <n v="0"/>
    <s v=""/>
    <b v="0"/>
    <s v="en"/>
    <m/>
    <s v=""/>
    <b v="0"/>
    <n v="3"/>
    <s v="1525924965857787904"/>
    <s v="Eco Promotions"/>
    <b v="0"/>
    <s v="1525924965857787904"/>
    <s v="Tweet"/>
    <n v="0"/>
    <n v="0"/>
    <m/>
    <m/>
    <m/>
    <m/>
    <m/>
    <m/>
    <m/>
    <m/>
    <n v="1"/>
    <s v="4"/>
    <s v="4"/>
    <m/>
    <m/>
    <m/>
    <m/>
    <m/>
    <m/>
    <m/>
    <m/>
    <m/>
  </r>
  <r>
    <s v="urbantui"/>
    <s v="cyclingactionnz"/>
    <m/>
    <m/>
    <m/>
    <m/>
    <m/>
    <m/>
    <m/>
    <m/>
    <s v="No"/>
    <n v="35"/>
    <m/>
    <m/>
    <s v="MentionsInRetweet"/>
    <x v="25"/>
    <s v="Emission Reduction Plan @CyclingActionNZ #ClimateAction #nzpol #fun #easy #affordable #popular https://t.co/lg9AqHKlaz"/>
    <m/>
    <m/>
    <s v="climateaction nzpol fun easy affordable popular"/>
    <s v="https://pbs.twimg.com/media/FS0sq1YaAAAqw4o.jpg"/>
    <s v="https://pbs.twimg.com/media/FS0sq1YaAAAqw4o.jpg"/>
    <d v="2022-05-15T20:54:00.000"/>
    <d v="2022-05-15T00:00:00.000"/>
    <s v="20:54:00"/>
    <s v="https://twitter.com/urbantui/status/1525942599303188480"/>
    <m/>
    <m/>
    <s v="1525942599303188480"/>
    <m/>
    <b v="0"/>
    <n v="0"/>
    <s v=""/>
    <b v="0"/>
    <s v="en"/>
    <m/>
    <s v=""/>
    <b v="0"/>
    <n v="3"/>
    <s v="1525924965857787904"/>
    <s v="Twitter for iPhone"/>
    <b v="0"/>
    <s v="1525924965857787904"/>
    <s v="Tweet"/>
    <n v="0"/>
    <n v="0"/>
    <m/>
    <m/>
    <m/>
    <m/>
    <m/>
    <m/>
    <m/>
    <m/>
    <n v="1"/>
    <s v="4"/>
    <s v="4"/>
    <m/>
    <m/>
    <m/>
    <m/>
    <m/>
    <m/>
    <m/>
    <m/>
    <m/>
  </r>
  <r>
    <s v="allantaunt"/>
    <s v="cyclingactionnz"/>
    <m/>
    <m/>
    <m/>
    <m/>
    <m/>
    <m/>
    <m/>
    <m/>
    <s v="No"/>
    <n v="37"/>
    <m/>
    <m/>
    <s v="MentionsInRetweet"/>
    <x v="26"/>
    <s v="Emission Reduction Plan @CyclingActionNZ #ClimateAction #nzpol #fun #easy #affordable #popular https://t.co/lg9AqHKlaz"/>
    <m/>
    <m/>
    <s v="climateaction nzpol fun easy affordable popular"/>
    <s v="https://pbs.twimg.com/media/FS0sq1YaAAAqw4o.jpg"/>
    <s v="https://pbs.twimg.com/media/FS0sq1YaAAAqw4o.jpg"/>
    <d v="2022-05-15T21:47:59.000"/>
    <d v="2022-05-15T00:00:00.000"/>
    <s v="21:47:59"/>
    <s v="https://twitter.com/allantaunt/status/1525956182774382592"/>
    <m/>
    <m/>
    <s v="1525956182774382592"/>
    <m/>
    <b v="0"/>
    <n v="0"/>
    <s v=""/>
    <b v="0"/>
    <s v="en"/>
    <m/>
    <s v=""/>
    <b v="0"/>
    <n v="3"/>
    <s v="1525924965857787904"/>
    <s v="Twitter for iPhone"/>
    <b v="0"/>
    <s v="1525924965857787904"/>
    <s v="Tweet"/>
    <n v="0"/>
    <n v="0"/>
    <m/>
    <m/>
    <m/>
    <m/>
    <m/>
    <m/>
    <m/>
    <m/>
    <n v="1"/>
    <s v="4"/>
    <s v="4"/>
    <m/>
    <m/>
    <m/>
    <m/>
    <m/>
    <m/>
    <m/>
    <m/>
    <m/>
  </r>
  <r>
    <s v="newshubpolitics"/>
    <s v="jamieensor"/>
    <m/>
    <m/>
    <m/>
    <m/>
    <m/>
    <m/>
    <m/>
    <m/>
    <s v="No"/>
    <n v="39"/>
    <m/>
    <m/>
    <s v="MentionsInRetweet"/>
    <x v="27"/>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968636394208878592/qqOUUqZ8_normal.jpg"/>
    <d v="2022-05-16T00:03:24.000"/>
    <d v="2022-05-16T00:00:00.000"/>
    <s v="00:03:24"/>
    <s v="https://twitter.com/newshubpolitics/status/1525990262207442944"/>
    <m/>
    <m/>
    <s v="1525990262207442944"/>
    <m/>
    <b v="0"/>
    <n v="0"/>
    <s v=""/>
    <b v="0"/>
    <s v="en"/>
    <m/>
    <s v=""/>
    <b v="0"/>
    <n v="4"/>
    <s v="1525990227004731393"/>
    <s v="TweetDeck"/>
    <b v="0"/>
    <s v="1525990227004731393"/>
    <s v="Tweet"/>
    <n v="0"/>
    <n v="0"/>
    <m/>
    <m/>
    <m/>
    <m/>
    <m/>
    <m/>
    <m/>
    <m/>
    <n v="1"/>
    <s v="6"/>
    <s v="6"/>
    <m/>
    <m/>
    <m/>
    <m/>
    <m/>
    <m/>
    <m/>
    <m/>
    <m/>
  </r>
  <r>
    <s v="newshubpolitics"/>
    <s v="newshubpolitics"/>
    <m/>
    <m/>
    <m/>
    <m/>
    <m/>
    <m/>
    <m/>
    <m/>
    <s v="No"/>
    <n v="41"/>
    <m/>
    <m/>
    <s v="Tweet"/>
    <x v="28"/>
    <s v="Support for Kiwis to purchase, lease low-emission vehicles: Transport takes 'leading role' climate plan https://t.co/6MZ8VXaqut"/>
    <s v="https://www.newshub.co.nz/home/politics/2022/05/emissions-reduction-plan-transport-takes-leading-role-with-scrap-and-replace-low-emission-vehicle-leasing-trials-announced.html?utm_source=dlvr.it&amp;utm_medium=twitter"/>
    <s v="co.nz"/>
    <m/>
    <m/>
    <s v="https://pbs.twimg.com/profile_images/968636394208878592/qqOUUqZ8_normal.jpg"/>
    <d v="2022-05-16T00:12:06.000"/>
    <d v="2022-05-16T00:00:00.000"/>
    <s v="00:12:06"/>
    <s v="https://twitter.com/newshubpolitics/status/1525992452712083456"/>
    <m/>
    <m/>
    <s v="1525992452712083456"/>
    <m/>
    <b v="0"/>
    <n v="5"/>
    <s v=""/>
    <b v="0"/>
    <s v="en"/>
    <m/>
    <s v=""/>
    <b v="0"/>
    <n v="1"/>
    <s v=""/>
    <s v="dlvr.it"/>
    <b v="0"/>
    <s v="1525992452712083456"/>
    <s v="Tweet"/>
    <n v="0"/>
    <n v="0"/>
    <m/>
    <m/>
    <m/>
    <m/>
    <m/>
    <m/>
    <m/>
    <m/>
    <n v="1"/>
    <s v="6"/>
    <s v="6"/>
    <n v="1"/>
    <n v="6.666666666666667"/>
    <n v="0"/>
    <n v="0"/>
    <n v="0"/>
    <n v="0"/>
    <n v="14"/>
    <n v="93.33333333333333"/>
    <n v="15"/>
  </r>
  <r>
    <s v="newshubnz"/>
    <s v="newshubpolitics"/>
    <m/>
    <m/>
    <m/>
    <m/>
    <m/>
    <m/>
    <m/>
    <m/>
    <s v="No"/>
    <n v="42"/>
    <m/>
    <m/>
    <s v="Retweet"/>
    <x v="29"/>
    <s v="Support for Kiwis to purchase, lease low-emission vehicles: Transport takes 'leading role' climate plan https://t.co/6MZ8VXaqut"/>
    <s v="https://www.newshub.co.nz/home/politics/2022/05/emissions-reduction-plan-transport-takes-leading-role-with-scrap-and-replace-low-emission-vehicle-leasing-trials-announced.html?utm_source=dlvr.it&amp;utm_medium=twitter"/>
    <s v="co.nz"/>
    <m/>
    <m/>
    <s v="https://pbs.twimg.com/profile_images/1112640037278015489/NgrI1YcO_normal.png"/>
    <d v="2022-05-16T00:13:04.000"/>
    <d v="2022-05-16T00:00:00.000"/>
    <s v="00:13:04"/>
    <s v="https://twitter.com/newshubnz/status/1525992694610153473"/>
    <m/>
    <m/>
    <s v="1525992694610153473"/>
    <m/>
    <b v="0"/>
    <n v="0"/>
    <s v=""/>
    <b v="0"/>
    <s v="en"/>
    <m/>
    <s v=""/>
    <b v="0"/>
    <n v="1"/>
    <s v="1525992452712083456"/>
    <s v="dlvr.it"/>
    <b v="0"/>
    <s v="1525992452712083456"/>
    <s v="Tweet"/>
    <n v="0"/>
    <n v="0"/>
    <m/>
    <m/>
    <m/>
    <m/>
    <m/>
    <m/>
    <m/>
    <m/>
    <n v="1"/>
    <s v="6"/>
    <s v="6"/>
    <n v="1"/>
    <n v="6.666666666666667"/>
    <n v="0"/>
    <n v="0"/>
    <n v="0"/>
    <n v="0"/>
    <n v="14"/>
    <n v="93.33333333333333"/>
    <n v="15"/>
  </r>
  <r>
    <s v="newshubnz"/>
    <s v="jamieensor"/>
    <m/>
    <m/>
    <m/>
    <m/>
    <m/>
    <m/>
    <m/>
    <m/>
    <s v="No"/>
    <n v="43"/>
    <m/>
    <m/>
    <s v="MentionsInRetweet"/>
    <x v="30"/>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1112640037278015489/NgrI1YcO_normal.png"/>
    <d v="2022-05-16T00:03:21.000"/>
    <d v="2022-05-16T00:00:00.000"/>
    <s v="00:03:21"/>
    <s v="https://twitter.com/newshubnz/status/1525990247925919744"/>
    <m/>
    <m/>
    <s v="1525990247925919744"/>
    <m/>
    <b v="0"/>
    <n v="0"/>
    <s v=""/>
    <b v="0"/>
    <s v="en"/>
    <m/>
    <s v=""/>
    <b v="0"/>
    <n v="4"/>
    <s v="1525990227004731393"/>
    <s v="TweetDeck"/>
    <b v="0"/>
    <s v="1525990227004731393"/>
    <s v="Tweet"/>
    <n v="0"/>
    <n v="0"/>
    <m/>
    <m/>
    <m/>
    <m/>
    <m/>
    <m/>
    <m/>
    <m/>
    <n v="1"/>
    <s v="6"/>
    <s v="6"/>
    <m/>
    <m/>
    <m/>
    <m/>
    <m/>
    <m/>
    <m/>
    <m/>
    <m/>
  </r>
  <r>
    <s v="newshubbreaking"/>
    <s v="jamieensor"/>
    <m/>
    <m/>
    <m/>
    <m/>
    <m/>
    <m/>
    <m/>
    <m/>
    <s v="Yes"/>
    <n v="45"/>
    <m/>
    <m/>
    <s v="Mentions"/>
    <x v="31"/>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969418395182555136/ssvz_qTA_normal.jpg"/>
    <d v="2022-05-16T00:03:16.000"/>
    <d v="2022-05-16T00:00:00.000"/>
    <s v="00:03:16"/>
    <s v="https://twitter.com/newshubbreaking/status/1525990227004731393"/>
    <m/>
    <m/>
    <s v="1525990227004731393"/>
    <m/>
    <b v="0"/>
    <n v="8"/>
    <s v=""/>
    <b v="0"/>
    <s v="en"/>
    <m/>
    <s v=""/>
    <b v="0"/>
    <n v="4"/>
    <s v=""/>
    <s v="TweetDeck"/>
    <b v="0"/>
    <s v="1525990227004731393"/>
    <s v="Tweet"/>
    <n v="0"/>
    <n v="0"/>
    <m/>
    <m/>
    <m/>
    <m/>
    <m/>
    <m/>
    <m/>
    <m/>
    <n v="1"/>
    <s v="6"/>
    <s v="6"/>
    <n v="1"/>
    <n v="4.761904761904762"/>
    <n v="1"/>
    <n v="4.761904761904762"/>
    <n v="0"/>
    <n v="0"/>
    <n v="19"/>
    <n v="90.47619047619048"/>
    <n v="21"/>
  </r>
  <r>
    <s v="jamieensor"/>
    <s v="newshubbreaking"/>
    <m/>
    <m/>
    <m/>
    <m/>
    <m/>
    <m/>
    <m/>
    <m/>
    <s v="Yes"/>
    <n v="46"/>
    <m/>
    <m/>
    <s v="Retweet"/>
    <x v="32"/>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1404655697048981504/O71R3guV_normal.jpg"/>
    <d v="2022-05-16T00:08:20.000"/>
    <d v="2022-05-16T00:00:00.000"/>
    <s v="00:08:20"/>
    <s v="https://twitter.com/jamieensor/status/1525991502954250240"/>
    <m/>
    <m/>
    <s v="1525991502954250240"/>
    <m/>
    <b v="0"/>
    <n v="0"/>
    <s v=""/>
    <b v="0"/>
    <s v="en"/>
    <m/>
    <s v=""/>
    <b v="0"/>
    <n v="4"/>
    <s v="1525990227004731393"/>
    <s v="Twitter for iPhone"/>
    <b v="0"/>
    <s v="1525990227004731393"/>
    <s v="Tweet"/>
    <n v="0"/>
    <n v="0"/>
    <m/>
    <m/>
    <m/>
    <m/>
    <m/>
    <m/>
    <m/>
    <m/>
    <n v="1"/>
    <s v="6"/>
    <s v="6"/>
    <n v="1"/>
    <n v="4.761904761904762"/>
    <n v="1"/>
    <n v="4.761904761904762"/>
    <n v="0"/>
    <n v="0"/>
    <n v="19"/>
    <n v="90.47619047619048"/>
    <n v="21"/>
  </r>
  <r>
    <s v="nichols_lindy"/>
    <s v="jamieensor"/>
    <m/>
    <m/>
    <m/>
    <m/>
    <m/>
    <m/>
    <m/>
    <m/>
    <s v="No"/>
    <n v="47"/>
    <m/>
    <m/>
    <s v="MentionsInRetweet"/>
    <x v="33"/>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1323418755829886976/B1Xeq0XK_normal.jpg"/>
    <d v="2022-05-16T00:13:05.000"/>
    <d v="2022-05-16T00:00:00.000"/>
    <s v="00:13:05"/>
    <s v="https://twitter.com/nichols_lindy/status/1525992700360929280"/>
    <m/>
    <m/>
    <s v="1525992700360929280"/>
    <m/>
    <b v="0"/>
    <n v="0"/>
    <s v=""/>
    <b v="0"/>
    <s v="en"/>
    <m/>
    <s v=""/>
    <b v="0"/>
    <n v="4"/>
    <s v="1525990227004731393"/>
    <s v="Twitter Web App"/>
    <b v="0"/>
    <s v="1525990227004731393"/>
    <s v="Tweet"/>
    <n v="0"/>
    <n v="0"/>
    <m/>
    <m/>
    <m/>
    <m/>
    <m/>
    <m/>
    <m/>
    <m/>
    <n v="1"/>
    <s v="6"/>
    <s v="6"/>
    <m/>
    <m/>
    <m/>
    <m/>
    <m/>
    <m/>
    <m/>
    <m/>
    <m/>
  </r>
  <r>
    <s v="nzgreens"/>
    <s v="nashthomas"/>
    <m/>
    <m/>
    <m/>
    <m/>
    <m/>
    <m/>
    <m/>
    <m/>
    <s v="No"/>
    <n v="49"/>
    <m/>
    <m/>
    <s v="Retweet"/>
    <x v="34"/>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260365561910812672/BIg_dVBW_normal.jpg"/>
    <d v="2022-05-16T00:35:20.000"/>
    <d v="2022-05-16T00:00:00.000"/>
    <s v="00:35:20"/>
    <s v="https://twitter.com/nzgreens/status/1525998297747718144"/>
    <m/>
    <m/>
    <s v="1525998297747718144"/>
    <m/>
    <b v="0"/>
    <n v="0"/>
    <s v=""/>
    <b v="0"/>
    <s v="en"/>
    <m/>
    <s v=""/>
    <b v="0"/>
    <n v="11"/>
    <s v="1525998057963200512"/>
    <s v="Twitter for iPhone"/>
    <b v="0"/>
    <s v="1525998057963200512"/>
    <s v="Tweet"/>
    <n v="0"/>
    <n v="0"/>
    <m/>
    <m/>
    <m/>
    <m/>
    <m/>
    <m/>
    <m/>
    <m/>
    <n v="1"/>
    <s v="1"/>
    <s v="1"/>
    <n v="1"/>
    <n v="2.272727272727273"/>
    <n v="0"/>
    <n v="0"/>
    <n v="0"/>
    <n v="0"/>
    <n v="43"/>
    <n v="97.72727272727273"/>
    <n v="44"/>
  </r>
  <r>
    <s v="pearlwendyl"/>
    <s v="nashthomas"/>
    <m/>
    <m/>
    <m/>
    <m/>
    <m/>
    <m/>
    <m/>
    <m/>
    <s v="No"/>
    <n v="50"/>
    <m/>
    <m/>
    <s v="Retweet"/>
    <x v="35"/>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523187870848090112/CTQh35SM_normal.jpg"/>
    <d v="2022-05-16T00:35:23.000"/>
    <d v="2022-05-16T00:00:00.000"/>
    <s v="00:35:23"/>
    <s v="https://twitter.com/pearlwendyl/status/1525998308589613057"/>
    <m/>
    <m/>
    <s v="1525998308589613057"/>
    <m/>
    <b v="0"/>
    <n v="0"/>
    <s v=""/>
    <b v="0"/>
    <s v="en"/>
    <m/>
    <s v=""/>
    <b v="0"/>
    <n v="11"/>
    <s v="1525998057963200512"/>
    <s v="Twitter for iPhone"/>
    <b v="0"/>
    <s v="1525998057963200512"/>
    <s v="Tweet"/>
    <n v="0"/>
    <n v="0"/>
    <m/>
    <m/>
    <m/>
    <m/>
    <m/>
    <m/>
    <m/>
    <m/>
    <n v="1"/>
    <s v="1"/>
    <s v="1"/>
    <n v="1"/>
    <n v="2.272727272727273"/>
    <n v="0"/>
    <n v="0"/>
    <n v="0"/>
    <n v="0"/>
    <n v="43"/>
    <n v="97.72727272727273"/>
    <n v="44"/>
  </r>
  <r>
    <s v="alisondesu"/>
    <s v="nashthomas"/>
    <m/>
    <m/>
    <m/>
    <m/>
    <m/>
    <m/>
    <m/>
    <m/>
    <s v="No"/>
    <n v="51"/>
    <m/>
    <m/>
    <s v="Retweet"/>
    <x v="36"/>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455124671066611716/bvFYhuO-_normal.jpg"/>
    <d v="2022-05-16T00:35:58.000"/>
    <d v="2022-05-16T00:00:00.000"/>
    <s v="00:35:58"/>
    <s v="https://twitter.com/alisondesu/status/1525998457885904896"/>
    <m/>
    <m/>
    <s v="1525998457885904896"/>
    <m/>
    <b v="0"/>
    <n v="0"/>
    <s v=""/>
    <b v="0"/>
    <s v="en"/>
    <m/>
    <s v=""/>
    <b v="0"/>
    <n v="11"/>
    <s v="1525998057963200512"/>
    <s v="Twitter Web App"/>
    <b v="0"/>
    <s v="1525998057963200512"/>
    <s v="Tweet"/>
    <n v="0"/>
    <n v="0"/>
    <m/>
    <m/>
    <m/>
    <m/>
    <m/>
    <m/>
    <m/>
    <m/>
    <n v="1"/>
    <s v="1"/>
    <s v="1"/>
    <n v="1"/>
    <n v="2.272727272727273"/>
    <n v="0"/>
    <n v="0"/>
    <n v="0"/>
    <n v="0"/>
    <n v="43"/>
    <n v="97.72727272727273"/>
    <n v="44"/>
  </r>
  <r>
    <s v="napierinframe"/>
    <s v="nashthomas"/>
    <m/>
    <m/>
    <m/>
    <m/>
    <m/>
    <m/>
    <m/>
    <m/>
    <s v="No"/>
    <n v="52"/>
    <m/>
    <m/>
    <s v="Retweet"/>
    <x v="3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495303152530489344/FM5MocrY_normal.jpg"/>
    <d v="2022-05-16T00:36:24.000"/>
    <d v="2022-05-16T00:00:00.000"/>
    <s v="00:36:24"/>
    <s v="https://twitter.com/napierinframe/status/1525998565830430721"/>
    <m/>
    <m/>
    <s v="1525998565830430721"/>
    <m/>
    <b v="0"/>
    <n v="0"/>
    <s v=""/>
    <b v="0"/>
    <s v="en"/>
    <m/>
    <s v=""/>
    <b v="0"/>
    <n v="11"/>
    <s v="1525998057963200512"/>
    <s v="Twitter Web App"/>
    <b v="0"/>
    <s v="1525998057963200512"/>
    <s v="Tweet"/>
    <n v="0"/>
    <n v="0"/>
    <m/>
    <m/>
    <m/>
    <m/>
    <m/>
    <m/>
    <m/>
    <m/>
    <n v="1"/>
    <s v="1"/>
    <s v="1"/>
    <n v="1"/>
    <n v="2.272727272727273"/>
    <n v="0"/>
    <n v="0"/>
    <n v="0"/>
    <n v="0"/>
    <n v="43"/>
    <n v="97.72727272727273"/>
    <n v="44"/>
  </r>
  <r>
    <s v="eugeniesage"/>
    <s v="nashthomas"/>
    <m/>
    <m/>
    <m/>
    <m/>
    <m/>
    <m/>
    <m/>
    <m/>
    <s v="No"/>
    <n v="53"/>
    <m/>
    <m/>
    <s v="Retweet"/>
    <x v="38"/>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382826449627860996/xiuIVyrR_normal.jpg"/>
    <d v="2022-05-16T01:08:32.000"/>
    <d v="2022-05-16T00:00:00.000"/>
    <s v="01:08:32"/>
    <s v="https://twitter.com/eugeniesage/status/1526006651773657088"/>
    <m/>
    <m/>
    <s v="1526006651773657088"/>
    <m/>
    <b v="0"/>
    <n v="0"/>
    <s v=""/>
    <b v="0"/>
    <s v="en"/>
    <m/>
    <s v=""/>
    <b v="0"/>
    <n v="11"/>
    <s v="1525998057963200512"/>
    <s v="Twitter for iPhone"/>
    <b v="0"/>
    <s v="1525998057963200512"/>
    <s v="Tweet"/>
    <n v="0"/>
    <n v="0"/>
    <m/>
    <m/>
    <m/>
    <m/>
    <m/>
    <m/>
    <m/>
    <m/>
    <n v="1"/>
    <s v="1"/>
    <s v="1"/>
    <n v="1"/>
    <n v="2.272727272727273"/>
    <n v="0"/>
    <n v="0"/>
    <n v="0"/>
    <n v="0"/>
    <n v="43"/>
    <n v="97.72727272727273"/>
    <n v="44"/>
  </r>
  <r>
    <s v="essigna"/>
    <s v="nashthomas"/>
    <m/>
    <m/>
    <m/>
    <m/>
    <m/>
    <m/>
    <m/>
    <m/>
    <s v="No"/>
    <n v="54"/>
    <m/>
    <m/>
    <s v="Retweet"/>
    <x v="39"/>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483993090163888130/KhvaPeoa_normal.jpg"/>
    <d v="2022-05-16T01:42:41.000"/>
    <d v="2022-05-16T00:00:00.000"/>
    <s v="01:42:41"/>
    <s v="https://twitter.com/essigna/status/1526015248591114240"/>
    <m/>
    <m/>
    <s v="1526015248591114240"/>
    <m/>
    <b v="0"/>
    <n v="0"/>
    <s v=""/>
    <b v="0"/>
    <s v="en"/>
    <m/>
    <s v=""/>
    <b v="0"/>
    <n v="13"/>
    <s v="1526013565223567360"/>
    <s v="Twitter for iPhone"/>
    <b v="0"/>
    <s v="1526013565223567360"/>
    <s v="Tweet"/>
    <n v="0"/>
    <n v="0"/>
    <m/>
    <m/>
    <m/>
    <m/>
    <m/>
    <m/>
    <m/>
    <m/>
    <n v="1"/>
    <s v="1"/>
    <s v="1"/>
    <n v="2"/>
    <n v="4"/>
    <n v="0"/>
    <n v="0"/>
    <n v="0"/>
    <n v="0"/>
    <n v="48"/>
    <n v="96"/>
    <n v="50"/>
  </r>
  <r>
    <s v="macilree"/>
    <s v="nashthomas"/>
    <m/>
    <m/>
    <m/>
    <m/>
    <m/>
    <m/>
    <m/>
    <m/>
    <s v="No"/>
    <n v="55"/>
    <m/>
    <m/>
    <s v="Retweet"/>
    <x v="40"/>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537767884013850624/UUBKong3_normal.jpeg"/>
    <d v="2022-05-16T02:03:39.000"/>
    <d v="2022-05-16T00:00:00.000"/>
    <s v="02:03:39"/>
    <s v="https://twitter.com/macilree/status/1526020522131456000"/>
    <m/>
    <m/>
    <s v="1526020522131456000"/>
    <m/>
    <b v="0"/>
    <n v="0"/>
    <s v=""/>
    <b v="0"/>
    <s v="en"/>
    <m/>
    <s v=""/>
    <b v="0"/>
    <n v="11"/>
    <s v="1525998057963200512"/>
    <s v="Twitter for iPad"/>
    <b v="0"/>
    <s v="1525998057963200512"/>
    <s v="Tweet"/>
    <n v="0"/>
    <n v="0"/>
    <m/>
    <m/>
    <m/>
    <m/>
    <m/>
    <m/>
    <m/>
    <m/>
    <n v="1"/>
    <s v="1"/>
    <s v="1"/>
    <n v="1"/>
    <n v="2.272727272727273"/>
    <n v="0"/>
    <n v="0"/>
    <n v="0"/>
    <n v="0"/>
    <n v="43"/>
    <n v="97.72727272727273"/>
    <n v="44"/>
  </r>
  <r>
    <s v="uriohau"/>
    <s v="climatejusticet"/>
    <m/>
    <m/>
    <m/>
    <m/>
    <m/>
    <m/>
    <m/>
    <m/>
    <s v="No"/>
    <n v="56"/>
    <m/>
    <m/>
    <s v="Retweet"/>
    <x v="41"/>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524714834314821632/_Pwn3z0M_normal.jpg"/>
    <d v="2022-05-16T02:10:23.000"/>
    <d v="2022-05-16T00:00:00.000"/>
    <s v="02:10:23"/>
    <s v="https://twitter.com/uriohau/status/1526022215971774464"/>
    <m/>
    <m/>
    <s v="1526022215971774464"/>
    <m/>
    <b v="0"/>
    <n v="0"/>
    <s v=""/>
    <b v="0"/>
    <s v="en"/>
    <m/>
    <s v=""/>
    <b v="0"/>
    <n v="14"/>
    <s v="1526021856079511552"/>
    <s v="Twitter for Android"/>
    <b v="0"/>
    <s v="1526021856079511552"/>
    <s v="Tweet"/>
    <n v="0"/>
    <n v="0"/>
    <m/>
    <m/>
    <m/>
    <m/>
    <m/>
    <m/>
    <m/>
    <m/>
    <n v="1"/>
    <s v="3"/>
    <s v="3"/>
    <n v="1"/>
    <n v="2.3255813953488373"/>
    <n v="0"/>
    <n v="0"/>
    <n v="0"/>
    <n v="0"/>
    <n v="42"/>
    <n v="97.67441860465117"/>
    <n v="43"/>
  </r>
  <r>
    <s v="jennyneligan"/>
    <s v="nashthomas"/>
    <m/>
    <m/>
    <m/>
    <m/>
    <m/>
    <m/>
    <m/>
    <m/>
    <s v="No"/>
    <n v="57"/>
    <m/>
    <m/>
    <s v="Retweet"/>
    <x v="42"/>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378800000476930086/97e51731c2bccc31d5570806b033aa52_normal.jpeg"/>
    <d v="2022-05-16T02:14:32.000"/>
    <d v="2022-05-16T00:00:00.000"/>
    <s v="02:14:32"/>
    <s v="https://twitter.com/jennyneligan/status/1526023260701618176"/>
    <m/>
    <m/>
    <s v="1526023260701618176"/>
    <m/>
    <b v="0"/>
    <n v="0"/>
    <s v=""/>
    <b v="0"/>
    <s v="en"/>
    <m/>
    <s v=""/>
    <b v="0"/>
    <n v="11"/>
    <s v="1525998057963200512"/>
    <s v="Twitter Web App"/>
    <b v="0"/>
    <s v="1525998057963200512"/>
    <s v="Tweet"/>
    <n v="0"/>
    <n v="0"/>
    <m/>
    <m/>
    <m/>
    <m/>
    <m/>
    <m/>
    <m/>
    <m/>
    <n v="1"/>
    <s v="1"/>
    <s v="1"/>
    <n v="1"/>
    <n v="2.272727272727273"/>
    <n v="0"/>
    <n v="0"/>
    <n v="0"/>
    <n v="0"/>
    <n v="43"/>
    <n v="97.72727272727273"/>
    <n v="44"/>
  </r>
  <r>
    <s v="haylskoroi"/>
    <s v="climatejusticet"/>
    <m/>
    <m/>
    <m/>
    <m/>
    <m/>
    <m/>
    <m/>
    <m/>
    <s v="No"/>
    <n v="58"/>
    <m/>
    <m/>
    <s v="Retweet"/>
    <x v="43"/>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175587153268527104/sbJ-R2-c_normal.jpg"/>
    <d v="2022-05-16T02:14:45.000"/>
    <d v="2022-05-16T00:00:00.000"/>
    <s v="02:14:45"/>
    <s v="https://twitter.com/haylskoroi/status/1526023315441127426"/>
    <m/>
    <m/>
    <s v="1526023315441127426"/>
    <m/>
    <b v="0"/>
    <n v="0"/>
    <s v=""/>
    <b v="0"/>
    <s v="en"/>
    <m/>
    <s v=""/>
    <b v="0"/>
    <n v="14"/>
    <s v="1526021856079511552"/>
    <s v="Twitter Web App"/>
    <b v="0"/>
    <s v="1526021856079511552"/>
    <s v="Tweet"/>
    <n v="0"/>
    <n v="0"/>
    <m/>
    <m/>
    <m/>
    <m/>
    <m/>
    <m/>
    <m/>
    <m/>
    <n v="1"/>
    <s v="3"/>
    <s v="3"/>
    <n v="1"/>
    <n v="2.3255813953488373"/>
    <n v="0"/>
    <n v="0"/>
    <n v="0"/>
    <n v="0"/>
    <n v="42"/>
    <n v="97.67441860465117"/>
    <n v="43"/>
  </r>
  <r>
    <s v="riseup4cja"/>
    <s v="climatejusticet"/>
    <m/>
    <m/>
    <m/>
    <m/>
    <m/>
    <m/>
    <m/>
    <m/>
    <s v="No"/>
    <n v="59"/>
    <m/>
    <m/>
    <s v="Retweet"/>
    <x v="44"/>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437299302032822272/Xew9wpQo_normal.jpg"/>
    <d v="2022-05-16T02:16:52.000"/>
    <d v="2022-05-16T00:00:00.000"/>
    <s v="02:16:52"/>
    <s v="https://twitter.com/riseup4cja/status/1526023850047131649"/>
    <m/>
    <m/>
    <s v="1526023850047131649"/>
    <m/>
    <b v="0"/>
    <n v="0"/>
    <s v=""/>
    <b v="0"/>
    <s v="en"/>
    <m/>
    <s v=""/>
    <b v="0"/>
    <n v="14"/>
    <s v="1526021856079511552"/>
    <s v="Twitter Web App"/>
    <b v="0"/>
    <s v="1526021856079511552"/>
    <s v="Tweet"/>
    <n v="0"/>
    <n v="0"/>
    <m/>
    <m/>
    <m/>
    <m/>
    <m/>
    <m/>
    <m/>
    <m/>
    <n v="1"/>
    <s v="3"/>
    <s v="3"/>
    <n v="1"/>
    <n v="2.3255813953488373"/>
    <n v="0"/>
    <n v="0"/>
    <n v="0"/>
    <n v="0"/>
    <n v="42"/>
    <n v="97.67441860465117"/>
    <n v="43"/>
  </r>
  <r>
    <s v="peterja27056176"/>
    <s v="climatejusticet"/>
    <m/>
    <m/>
    <m/>
    <m/>
    <m/>
    <m/>
    <m/>
    <m/>
    <s v="No"/>
    <n v="60"/>
    <m/>
    <m/>
    <s v="Retweet"/>
    <x v="45"/>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386472261658451975/SrKrZGVt_normal.jpg"/>
    <d v="2022-05-16T02:20:15.000"/>
    <d v="2022-05-16T00:00:00.000"/>
    <s v="02:20:15"/>
    <s v="https://twitter.com/peterja27056176/status/1526024701117509632"/>
    <m/>
    <m/>
    <s v="1526024701117509632"/>
    <m/>
    <b v="0"/>
    <n v="0"/>
    <s v=""/>
    <b v="0"/>
    <s v="en"/>
    <m/>
    <s v=""/>
    <b v="0"/>
    <n v="14"/>
    <s v="1526021856079511552"/>
    <s v="Twitter for iPhone"/>
    <b v="0"/>
    <s v="1526021856079511552"/>
    <s v="Tweet"/>
    <n v="0"/>
    <n v="0"/>
    <m/>
    <m/>
    <m/>
    <m/>
    <m/>
    <m/>
    <m/>
    <m/>
    <n v="1"/>
    <s v="3"/>
    <s v="3"/>
    <n v="1"/>
    <n v="2.3255813953488373"/>
    <n v="0"/>
    <n v="0"/>
    <n v="0"/>
    <n v="0"/>
    <n v="42"/>
    <n v="97.67441860465117"/>
    <n v="43"/>
  </r>
  <r>
    <s v="russelnorman"/>
    <s v="climatejusticet"/>
    <m/>
    <m/>
    <m/>
    <m/>
    <m/>
    <m/>
    <m/>
    <m/>
    <s v="No"/>
    <n v="61"/>
    <m/>
    <m/>
    <s v="Retweet"/>
    <x v="46"/>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641906309126754304/MfpI6RtM_normal.jpg"/>
    <d v="2022-05-16T02:34:36.000"/>
    <d v="2022-05-16T00:00:00.000"/>
    <s v="02:34:36"/>
    <s v="https://twitter.com/russelnorman/status/1526028313289863170"/>
    <m/>
    <m/>
    <s v="1526028313289863170"/>
    <m/>
    <b v="0"/>
    <n v="0"/>
    <s v=""/>
    <b v="0"/>
    <s v="en"/>
    <m/>
    <s v=""/>
    <b v="0"/>
    <n v="14"/>
    <s v="1526021856079511552"/>
    <s v="Twitter for iPhone"/>
    <b v="0"/>
    <s v="1526021856079511552"/>
    <s v="Tweet"/>
    <n v="0"/>
    <n v="0"/>
    <m/>
    <m/>
    <m/>
    <m/>
    <m/>
    <m/>
    <m/>
    <m/>
    <n v="1"/>
    <s v="3"/>
    <s v="3"/>
    <n v="1"/>
    <n v="2.3255813953488373"/>
    <n v="0"/>
    <n v="0"/>
    <n v="0"/>
    <n v="0"/>
    <n v="42"/>
    <n v="97.67441860465117"/>
    <n v="43"/>
  </r>
  <r>
    <s v="brianborunz"/>
    <s v="nashthomas"/>
    <m/>
    <m/>
    <m/>
    <m/>
    <m/>
    <m/>
    <m/>
    <m/>
    <s v="No"/>
    <n v="62"/>
    <m/>
    <m/>
    <s v="Retweet"/>
    <x v="4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911719554346131457/tqzYif_V_normal.jpg"/>
    <d v="2022-05-16T02:36:01.000"/>
    <d v="2022-05-16T00:00:00.000"/>
    <s v="02:36:01"/>
    <s v="https://twitter.com/brianborunz/status/1526028670636539907"/>
    <m/>
    <m/>
    <s v="1526028670636539907"/>
    <m/>
    <b v="0"/>
    <n v="0"/>
    <s v=""/>
    <b v="0"/>
    <s v="en"/>
    <m/>
    <s v=""/>
    <b v="0"/>
    <n v="11"/>
    <s v="1525998057963200512"/>
    <s v="Twitter for Android"/>
    <b v="0"/>
    <s v="1525998057963200512"/>
    <s v="Tweet"/>
    <n v="0"/>
    <n v="0"/>
    <m/>
    <m/>
    <m/>
    <m/>
    <m/>
    <m/>
    <m/>
    <m/>
    <n v="1"/>
    <s v="1"/>
    <s v="1"/>
    <n v="1"/>
    <n v="2.272727272727273"/>
    <n v="0"/>
    <n v="0"/>
    <n v="0"/>
    <n v="0"/>
    <n v="43"/>
    <n v="97.72727272727273"/>
    <n v="44"/>
  </r>
  <r>
    <s v="newstalkzb"/>
    <s v="newstalkzb"/>
    <m/>
    <m/>
    <m/>
    <m/>
    <m/>
    <m/>
    <m/>
    <m/>
    <s v="No"/>
    <n v="63"/>
    <m/>
    <m/>
    <s v="Tweet"/>
    <x v="48"/>
    <s v="Dairy NZ CEO and climate expert on what's needed and expected from Emission Reduction Plan_x000a__x000a_https://t.co/Fbue9SCuG7"/>
    <s v="https://www.newstalkzb.co.nz/on-air/mike-hosking-breakfast/audio/tim-mackle-and-adrian-macey-dairy-nz-ceo-and-victoria-university-climate-expert-on-whats-needed-and-expected-from-todays-emission-reduction-plan/"/>
    <s v="co.nz"/>
    <m/>
    <m/>
    <s v="https://pbs.twimg.com/profile_images/1339869553237446661/RhTjPeSb_normal.jpg"/>
    <d v="2022-05-15T23:20:00.000"/>
    <d v="2022-05-15T00:00:00.000"/>
    <s v="23:20:00"/>
    <s v="https://twitter.com/newstalkzb/status/1525979338625060864"/>
    <m/>
    <m/>
    <s v="1525979338625060864"/>
    <m/>
    <b v="0"/>
    <n v="1"/>
    <s v=""/>
    <b v="0"/>
    <s v="en"/>
    <m/>
    <s v=""/>
    <b v="0"/>
    <n v="0"/>
    <s v=""/>
    <s v="TweetDeck"/>
    <b v="0"/>
    <s v="1525979338625060864"/>
    <s v="Tweet"/>
    <n v="0"/>
    <n v="0"/>
    <m/>
    <m/>
    <m/>
    <m/>
    <m/>
    <m/>
    <m/>
    <m/>
    <n v="1"/>
    <s v="21"/>
    <s v="21"/>
    <n v="0"/>
    <n v="0"/>
    <n v="0"/>
    <n v="0"/>
    <n v="0"/>
    <n v="0"/>
    <n v="15"/>
    <n v="100"/>
    <n v="15"/>
  </r>
  <r>
    <s v="wellingtonuni"/>
    <s v="newstalkzb"/>
    <m/>
    <m/>
    <m/>
    <m/>
    <m/>
    <m/>
    <m/>
    <m/>
    <s v="No"/>
    <n v="64"/>
    <m/>
    <m/>
    <s v="Mentions"/>
    <x v="49"/>
    <s v="Prior to the #nzgovt's release of the #EmissionReduction Plan, #WellingtonUni's Adjunct Professor at the New Zealand Climate Change Research Institute Dr Adrian Macey tells @newstalkzb what to expect top priority issues to be https://t.co/GNlJwAxx56"/>
    <s v="https://www.newstalkzb.co.nz/on-air/mike-hosking-breakfast/audio/tim-mackle-and-adrian-macey-dairy-nz-ceo-and-victoria-university-climate-expert-on-whats-needed-and-expected-from-todays-emission-reduction-plan/"/>
    <s v="co.nz"/>
    <s v="nzgovt emissionreduction wellingtonuni"/>
    <m/>
    <s v="https://pbs.twimg.com/profile_images/1199432744800931840/s3kZhXK2_normal.png"/>
    <d v="2022-05-16T02:36:07.000"/>
    <d v="2022-05-16T00:00:00.000"/>
    <s v="02:36:07"/>
    <s v="https://twitter.com/wellingtonuni/status/1526028693390376961"/>
    <m/>
    <m/>
    <s v="1526028693390376961"/>
    <m/>
    <b v="0"/>
    <n v="2"/>
    <s v=""/>
    <b v="0"/>
    <s v="en"/>
    <m/>
    <s v=""/>
    <b v="0"/>
    <n v="0"/>
    <s v=""/>
    <s v="Sprout Social"/>
    <b v="0"/>
    <s v="1526028693390376961"/>
    <s v="Tweet"/>
    <n v="0"/>
    <n v="0"/>
    <m/>
    <m/>
    <m/>
    <m/>
    <m/>
    <m/>
    <m/>
    <m/>
    <n v="1"/>
    <s v="21"/>
    <s v="21"/>
    <n v="1"/>
    <n v="3.0303030303030303"/>
    <n v="1"/>
    <n v="3.0303030303030303"/>
    <n v="0"/>
    <n v="0"/>
    <n v="31"/>
    <n v="93.93939393939394"/>
    <n v="33"/>
  </r>
  <r>
    <s v="norightturnnz"/>
    <s v="climatejusticet"/>
    <m/>
    <m/>
    <m/>
    <m/>
    <m/>
    <m/>
    <m/>
    <m/>
    <s v="No"/>
    <n v="65"/>
    <m/>
    <m/>
    <s v="Retweet"/>
    <x v="50"/>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378800000080455804/ad4249ac1021a7901bd5810ae668ab74_normal.png"/>
    <d v="2022-05-16T02:39:34.000"/>
    <d v="2022-05-16T00:00:00.000"/>
    <s v="02:39:34"/>
    <s v="https://twitter.com/norightturnnz/status/1526029563251134464"/>
    <m/>
    <m/>
    <s v="1526029563251134464"/>
    <m/>
    <b v="0"/>
    <n v="0"/>
    <s v=""/>
    <b v="0"/>
    <s v="en"/>
    <m/>
    <s v=""/>
    <b v="0"/>
    <n v="14"/>
    <s v="1526021856079511552"/>
    <s v="Twitter Web App"/>
    <b v="0"/>
    <s v="1526021856079511552"/>
    <s v="Tweet"/>
    <n v="0"/>
    <n v="0"/>
    <m/>
    <m/>
    <m/>
    <m/>
    <m/>
    <m/>
    <m/>
    <m/>
    <n v="1"/>
    <s v="3"/>
    <s v="3"/>
    <n v="1"/>
    <n v="2.3255813953488373"/>
    <n v="0"/>
    <n v="0"/>
    <n v="0"/>
    <n v="0"/>
    <n v="42"/>
    <n v="97.67441860465117"/>
    <n v="43"/>
  </r>
  <r>
    <s v="gplnz"/>
    <s v="climatejusticet"/>
    <m/>
    <m/>
    <m/>
    <m/>
    <m/>
    <m/>
    <m/>
    <m/>
    <s v="No"/>
    <n v="66"/>
    <m/>
    <m/>
    <s v="Retweet"/>
    <x v="51"/>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900528757714243584/lFiaz9wi_normal.jpg"/>
    <d v="2022-05-16T02:41:52.000"/>
    <d v="2022-05-16T00:00:00.000"/>
    <s v="02:41:52"/>
    <s v="https://twitter.com/gplnz/status/1526030139834142720"/>
    <m/>
    <m/>
    <s v="1526030139834142720"/>
    <m/>
    <b v="0"/>
    <n v="0"/>
    <s v=""/>
    <b v="0"/>
    <s v="en"/>
    <m/>
    <s v=""/>
    <b v="0"/>
    <n v="14"/>
    <s v="1526021856079511552"/>
    <s v="Twitter Web App"/>
    <b v="0"/>
    <s v="1526021856079511552"/>
    <s v="Tweet"/>
    <n v="0"/>
    <n v="0"/>
    <m/>
    <m/>
    <m/>
    <m/>
    <m/>
    <m/>
    <m/>
    <m/>
    <n v="1"/>
    <s v="3"/>
    <s v="3"/>
    <n v="1"/>
    <n v="2.3255813953488373"/>
    <n v="0"/>
    <n v="0"/>
    <n v="0"/>
    <n v="0"/>
    <n v="42"/>
    <n v="97.67441860465117"/>
    <n v="43"/>
  </r>
  <r>
    <s v="paulbmcgill"/>
    <s v="geraldpiddock"/>
    <m/>
    <m/>
    <m/>
    <m/>
    <m/>
    <m/>
    <m/>
    <m/>
    <s v="No"/>
    <n v="67"/>
    <m/>
    <m/>
    <s v="Replies to"/>
    <x v="52"/>
    <s v="@GeraldPiddock 🤷‍♂️as above, and adding to it all?_x000a_My view is the sector doesn’t have a plan. It doesn’t even come out in the emission reduction release stuff today?_x000a__x000a_So we just have more and more. Aldo HWEN want to be an entity around it all too. So another one there too potentially"/>
    <m/>
    <m/>
    <m/>
    <m/>
    <s v="https://pbs.twimg.com/profile_images/988730596888166400/5q2ooFC-_normal.jpg"/>
    <d v="2022-05-16T02:43:28.000"/>
    <d v="2022-05-16T00:00:00.000"/>
    <s v="02:43:28"/>
    <s v="https://twitter.com/paulbmcgill/status/1526030542658887680"/>
    <m/>
    <m/>
    <s v="1526030542658887680"/>
    <s v="1526028165482967040"/>
    <b v="0"/>
    <n v="1"/>
    <s v="613038344"/>
    <b v="0"/>
    <s v="en"/>
    <m/>
    <s v=""/>
    <b v="0"/>
    <n v="0"/>
    <s v=""/>
    <s v="Twitter for iPhone"/>
    <b v="0"/>
    <s v="1526028165482967040"/>
    <s v="Tweet"/>
    <n v="0"/>
    <n v="0"/>
    <s v="174.613267,-41.362455 _x000a_174.89541,-41.362455 _x000a_174.89541,-41.14354 _x000a_174.613267,-41.14354"/>
    <s v="New Zealand"/>
    <s v="NZ"/>
    <s v="Wellington City, New Zealand"/>
    <s v="013b5456649606dc"/>
    <s v="Wellington City"/>
    <s v="city"/>
    <s v="https://api.twitter.com/1.1/geo/id/013b5456649606dc.json"/>
    <n v="1"/>
    <s v="20"/>
    <s v="20"/>
    <n v="0"/>
    <n v="0"/>
    <n v="0"/>
    <n v="0"/>
    <n v="0"/>
    <n v="0"/>
    <n v="55"/>
    <n v="100"/>
    <n v="55"/>
  </r>
  <r>
    <s v="nickofnz"/>
    <s v="climatejusticet"/>
    <m/>
    <m/>
    <m/>
    <m/>
    <m/>
    <m/>
    <m/>
    <m/>
    <s v="No"/>
    <n v="68"/>
    <m/>
    <m/>
    <s v="Retweet"/>
    <x v="53"/>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512162081092816897/SDkiFysH_normal.jpg"/>
    <d v="2022-05-16T02:49:54.000"/>
    <d v="2022-05-16T00:00:00.000"/>
    <s v="02:49:54"/>
    <s v="https://twitter.com/nickofnz/status/1526032160829755392"/>
    <m/>
    <m/>
    <s v="1526032160829755392"/>
    <m/>
    <b v="0"/>
    <n v="0"/>
    <s v=""/>
    <b v="0"/>
    <s v="en"/>
    <m/>
    <s v=""/>
    <b v="0"/>
    <n v="14"/>
    <s v="1526021856079511552"/>
    <s v="Twitter Web App"/>
    <b v="0"/>
    <s v="1526021856079511552"/>
    <s v="Tweet"/>
    <n v="0"/>
    <n v="0"/>
    <m/>
    <m/>
    <m/>
    <m/>
    <m/>
    <m/>
    <m/>
    <m/>
    <n v="1"/>
    <s v="3"/>
    <s v="3"/>
    <n v="1"/>
    <n v="2.3255813953488373"/>
    <n v="0"/>
    <n v="0"/>
    <n v="0"/>
    <n v="0"/>
    <n v="42"/>
    <n v="97.67441860465117"/>
    <n v="43"/>
  </r>
  <r>
    <s v="olivefarmer"/>
    <s v="climatejusticet"/>
    <m/>
    <m/>
    <m/>
    <m/>
    <m/>
    <m/>
    <m/>
    <m/>
    <s v="No"/>
    <n v="69"/>
    <m/>
    <m/>
    <s v="Retweet"/>
    <x v="54"/>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646237560868462597/sZUS7hsi_normal.jpg"/>
    <d v="2022-05-16T02:54:11.000"/>
    <d v="2022-05-16T00:00:00.000"/>
    <s v="02:54:11"/>
    <s v="https://twitter.com/olivefarmer/status/1526033238678196224"/>
    <m/>
    <m/>
    <s v="1526033238678196224"/>
    <m/>
    <b v="0"/>
    <n v="0"/>
    <s v=""/>
    <b v="0"/>
    <s v="en"/>
    <m/>
    <s v=""/>
    <b v="0"/>
    <n v="14"/>
    <s v="1526021856079511552"/>
    <s v="Twitter Web App"/>
    <b v="0"/>
    <s v="1526021856079511552"/>
    <s v="Tweet"/>
    <n v="0"/>
    <n v="0"/>
    <m/>
    <m/>
    <m/>
    <m/>
    <m/>
    <m/>
    <m/>
    <m/>
    <n v="1"/>
    <s v="3"/>
    <s v="3"/>
    <n v="1"/>
    <n v="2.3255813953488373"/>
    <n v="0"/>
    <n v="0"/>
    <n v="0"/>
    <n v="0"/>
    <n v="42"/>
    <n v="97.67441860465117"/>
    <n v="43"/>
  </r>
  <r>
    <s v="publicaddress"/>
    <s v="nashthomas"/>
    <m/>
    <m/>
    <m/>
    <m/>
    <m/>
    <m/>
    <m/>
    <m/>
    <s v="No"/>
    <n v="70"/>
    <m/>
    <m/>
    <s v="Retweet"/>
    <x v="55"/>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81534353/russb_gravatar_normal.png"/>
    <d v="2022-05-16T03:01:53.000"/>
    <d v="2022-05-16T00:00:00.000"/>
    <s v="03:01:53"/>
    <s v="https://twitter.com/publicaddress/status/1526035180120862720"/>
    <m/>
    <m/>
    <s v="1526035180120862720"/>
    <m/>
    <b v="0"/>
    <n v="0"/>
    <s v=""/>
    <b v="0"/>
    <s v="en"/>
    <m/>
    <s v=""/>
    <b v="0"/>
    <n v="13"/>
    <s v="1526013565223567360"/>
    <s v="Twitter Web App"/>
    <b v="0"/>
    <s v="1526013565223567360"/>
    <s v="Tweet"/>
    <n v="0"/>
    <n v="0"/>
    <m/>
    <m/>
    <m/>
    <m/>
    <m/>
    <m/>
    <m/>
    <m/>
    <n v="1"/>
    <s v="1"/>
    <s v="1"/>
    <n v="2"/>
    <n v="4"/>
    <n v="0"/>
    <n v="0"/>
    <n v="0"/>
    <n v="0"/>
    <n v="48"/>
    <n v="96"/>
    <n v="50"/>
  </r>
  <r>
    <s v="bigfunk__"/>
    <s v="nashthomas"/>
    <m/>
    <m/>
    <m/>
    <m/>
    <m/>
    <m/>
    <m/>
    <m/>
    <s v="No"/>
    <n v="71"/>
    <m/>
    <m/>
    <s v="Retweet"/>
    <x v="56"/>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08682462410715137/nuOx04UL_normal.jpg"/>
    <d v="2022-05-16T03:03:23.000"/>
    <d v="2022-05-16T00:00:00.000"/>
    <s v="03:03:23"/>
    <s v="https://twitter.com/bigfunk__/status/1526035555129389057"/>
    <m/>
    <m/>
    <s v="1526035555129389057"/>
    <m/>
    <b v="0"/>
    <n v="0"/>
    <s v=""/>
    <b v="0"/>
    <s v="en"/>
    <m/>
    <s v=""/>
    <b v="0"/>
    <n v="13"/>
    <s v="1526013565223567360"/>
    <s v="Twitter for iPhone"/>
    <b v="0"/>
    <s v="1526013565223567360"/>
    <s v="Tweet"/>
    <n v="0"/>
    <n v="0"/>
    <m/>
    <m/>
    <m/>
    <m/>
    <m/>
    <m/>
    <m/>
    <m/>
    <n v="1"/>
    <s v="1"/>
    <s v="1"/>
    <n v="2"/>
    <n v="4"/>
    <n v="0"/>
    <n v="0"/>
    <n v="0"/>
    <n v="0"/>
    <n v="48"/>
    <n v="96"/>
    <n v="50"/>
  </r>
  <r>
    <s v="scoopwellington"/>
    <s v="nashthomas"/>
    <m/>
    <m/>
    <m/>
    <m/>
    <m/>
    <m/>
    <m/>
    <m/>
    <s v="No"/>
    <n v="72"/>
    <m/>
    <m/>
    <s v="Retweet"/>
    <x v="5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31621671/square_scoop_normal.jpg"/>
    <d v="2022-05-16T03:20:19.000"/>
    <d v="2022-05-16T00:00:00.000"/>
    <s v="03:20:19"/>
    <s v="https://twitter.com/scoopwellington/status/1526039818245144576"/>
    <m/>
    <m/>
    <s v="1526039818245144576"/>
    <m/>
    <b v="0"/>
    <n v="0"/>
    <s v=""/>
    <b v="0"/>
    <s v="en"/>
    <m/>
    <s v=""/>
    <b v="0"/>
    <n v="11"/>
    <s v="1525998057963200512"/>
    <s v="Twitter Web App"/>
    <b v="0"/>
    <s v="1525998057963200512"/>
    <s v="Tweet"/>
    <n v="0"/>
    <n v="0"/>
    <m/>
    <m/>
    <m/>
    <m/>
    <m/>
    <m/>
    <m/>
    <m/>
    <n v="1"/>
    <s v="1"/>
    <s v="1"/>
    <n v="1"/>
    <n v="2.272727272727273"/>
    <n v="0"/>
    <n v="0"/>
    <n v="0"/>
    <n v="0"/>
    <n v="43"/>
    <n v="97.72727272727273"/>
    <n v="44"/>
  </r>
  <r>
    <s v="julieannegenter"/>
    <s v="nashthomas"/>
    <m/>
    <m/>
    <m/>
    <m/>
    <m/>
    <m/>
    <m/>
    <m/>
    <s v="No"/>
    <n v="73"/>
    <m/>
    <m/>
    <s v="Retweet"/>
    <x v="58"/>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957033521633099776/lnEjrroe_normal.jpg"/>
    <d v="2022-05-16T03:26:39.000"/>
    <d v="2022-05-16T00:00:00.000"/>
    <s v="03:26:39"/>
    <s v="https://twitter.com/julieannegenter/status/1526041409433632768"/>
    <m/>
    <m/>
    <s v="1526041409433632768"/>
    <m/>
    <b v="0"/>
    <n v="0"/>
    <s v=""/>
    <b v="0"/>
    <s v="en"/>
    <m/>
    <s v=""/>
    <b v="0"/>
    <n v="13"/>
    <s v="1526013565223567360"/>
    <s v="Twitter for iPhone"/>
    <b v="0"/>
    <s v="1526013565223567360"/>
    <s v="Tweet"/>
    <n v="0"/>
    <n v="0"/>
    <m/>
    <m/>
    <m/>
    <m/>
    <m/>
    <m/>
    <m/>
    <m/>
    <n v="1"/>
    <s v="1"/>
    <s v="1"/>
    <n v="2"/>
    <n v="4"/>
    <n v="0"/>
    <n v="0"/>
    <n v="0"/>
    <n v="0"/>
    <n v="48"/>
    <n v="96"/>
    <n v="50"/>
  </r>
  <r>
    <s v="mighty_kites"/>
    <s v="nashthomas"/>
    <m/>
    <m/>
    <m/>
    <m/>
    <m/>
    <m/>
    <m/>
    <m/>
    <s v="No"/>
    <n v="74"/>
    <m/>
    <m/>
    <s v="Retweet"/>
    <x v="59"/>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18093307960004608/6YtJq09a_normal.jpg"/>
    <d v="2022-05-16T03:28:47.000"/>
    <d v="2022-05-16T00:00:00.000"/>
    <s v="03:28:47"/>
    <s v="https://twitter.com/mighty_kites/status/1526041947466792960"/>
    <m/>
    <m/>
    <s v="1526041947466792960"/>
    <m/>
    <b v="0"/>
    <n v="0"/>
    <s v=""/>
    <b v="0"/>
    <s v="en"/>
    <m/>
    <s v=""/>
    <b v="0"/>
    <n v="13"/>
    <s v="1526013565223567360"/>
    <s v="Twitter for iPhone"/>
    <b v="0"/>
    <s v="1526013565223567360"/>
    <s v="Tweet"/>
    <n v="0"/>
    <n v="0"/>
    <m/>
    <m/>
    <m/>
    <m/>
    <m/>
    <m/>
    <m/>
    <m/>
    <n v="1"/>
    <s v="1"/>
    <s v="1"/>
    <n v="2"/>
    <n v="4"/>
    <n v="0"/>
    <n v="0"/>
    <n v="0"/>
    <n v="0"/>
    <n v="48"/>
    <n v="96"/>
    <n v="50"/>
  </r>
  <r>
    <s v="whiskymead"/>
    <s v="nashthomas"/>
    <m/>
    <m/>
    <m/>
    <m/>
    <m/>
    <m/>
    <m/>
    <m/>
    <s v="No"/>
    <n v="75"/>
    <m/>
    <m/>
    <s v="Retweet"/>
    <x v="60"/>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729500103212294144/B2HW-xru_normal.jpg"/>
    <d v="2022-05-16T03:32:12.000"/>
    <d v="2022-05-16T00:00:00.000"/>
    <s v="03:32:12"/>
    <s v="https://twitter.com/whiskymead/status/1526042809152962560"/>
    <m/>
    <m/>
    <s v="1526042809152962560"/>
    <m/>
    <b v="0"/>
    <n v="0"/>
    <s v=""/>
    <b v="0"/>
    <s v="en"/>
    <m/>
    <s v=""/>
    <b v="0"/>
    <n v="13"/>
    <s v="1526013565223567360"/>
    <s v="Twitter Web App"/>
    <b v="0"/>
    <s v="1526013565223567360"/>
    <s v="Tweet"/>
    <n v="0"/>
    <n v="0"/>
    <m/>
    <m/>
    <m/>
    <m/>
    <m/>
    <m/>
    <m/>
    <m/>
    <n v="1"/>
    <s v="1"/>
    <s v="1"/>
    <n v="2"/>
    <n v="4"/>
    <n v="0"/>
    <n v="0"/>
    <n v="0"/>
    <n v="0"/>
    <n v="48"/>
    <n v="96"/>
    <n v="50"/>
  </r>
  <r>
    <s v="misswhanau"/>
    <s v="nashthomas"/>
    <m/>
    <m/>
    <m/>
    <m/>
    <m/>
    <m/>
    <m/>
    <m/>
    <s v="No"/>
    <n v="76"/>
    <m/>
    <m/>
    <s v="Retweet"/>
    <x v="61"/>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507188923935895556/Er2AiGiO_normal.jpg"/>
    <d v="2022-05-16T00:36:23.000"/>
    <d v="2022-05-16T00:00:00.000"/>
    <s v="00:36:23"/>
    <s v="https://twitter.com/misswhanau/status/1525998559879114753"/>
    <m/>
    <m/>
    <s v="1525998559879114753"/>
    <m/>
    <b v="0"/>
    <n v="0"/>
    <s v=""/>
    <b v="0"/>
    <s v="en"/>
    <m/>
    <s v=""/>
    <b v="0"/>
    <n v="11"/>
    <s v="1525998057963200512"/>
    <s v="Twitter Web App"/>
    <b v="0"/>
    <s v="1525998057963200512"/>
    <s v="Tweet"/>
    <n v="0"/>
    <n v="0"/>
    <m/>
    <m/>
    <m/>
    <m/>
    <m/>
    <m/>
    <m/>
    <m/>
    <n v="2"/>
    <s v="1"/>
    <s v="1"/>
    <n v="1"/>
    <n v="2.272727272727273"/>
    <n v="0"/>
    <n v="0"/>
    <n v="0"/>
    <n v="0"/>
    <n v="43"/>
    <n v="97.72727272727273"/>
    <n v="44"/>
  </r>
  <r>
    <s v="misswhanau"/>
    <s v="nashthomas"/>
    <m/>
    <m/>
    <m/>
    <m/>
    <m/>
    <m/>
    <m/>
    <m/>
    <s v="No"/>
    <n v="77"/>
    <m/>
    <m/>
    <s v="Retweet"/>
    <x v="62"/>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07188923935895556/Er2AiGiO_normal.jpg"/>
    <d v="2022-05-16T03:46:01.000"/>
    <d v="2022-05-16T00:00:00.000"/>
    <s v="03:46:01"/>
    <s v="https://twitter.com/misswhanau/status/1526046284553293826"/>
    <m/>
    <m/>
    <s v="1526046284553293826"/>
    <m/>
    <b v="0"/>
    <n v="0"/>
    <s v=""/>
    <b v="0"/>
    <s v="en"/>
    <m/>
    <s v=""/>
    <b v="0"/>
    <n v="13"/>
    <s v="1526013565223567360"/>
    <s v="Twitter Web App"/>
    <b v="0"/>
    <s v="1526013565223567360"/>
    <s v="Tweet"/>
    <n v="0"/>
    <n v="0"/>
    <m/>
    <m/>
    <m/>
    <m/>
    <m/>
    <m/>
    <m/>
    <m/>
    <n v="2"/>
    <s v="1"/>
    <s v="1"/>
    <n v="2"/>
    <n v="4"/>
    <n v="0"/>
    <n v="0"/>
    <n v="0"/>
    <n v="0"/>
    <n v="48"/>
    <n v="96"/>
    <n v="50"/>
  </r>
  <r>
    <s v="egmanash"/>
    <s v="nashthomas"/>
    <m/>
    <m/>
    <m/>
    <m/>
    <m/>
    <m/>
    <m/>
    <m/>
    <s v="No"/>
    <n v="78"/>
    <m/>
    <m/>
    <s v="Retweet"/>
    <x v="63"/>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413381251558346753/rTUSMAkL_normal.jpg"/>
    <d v="2022-05-16T03:52:02.000"/>
    <d v="2022-05-16T00:00:00.000"/>
    <s v="03:52:02"/>
    <s v="https://twitter.com/egmanash/status/1526047798105321472"/>
    <m/>
    <m/>
    <s v="1526047798105321472"/>
    <m/>
    <b v="0"/>
    <n v="0"/>
    <s v=""/>
    <b v="0"/>
    <s v="en"/>
    <m/>
    <s v=""/>
    <b v="0"/>
    <n v="13"/>
    <s v="1526013565223567360"/>
    <s v="Twitter for iPhone"/>
    <b v="0"/>
    <s v="1526013565223567360"/>
    <s v="Tweet"/>
    <n v="0"/>
    <n v="0"/>
    <m/>
    <m/>
    <m/>
    <m/>
    <m/>
    <m/>
    <m/>
    <m/>
    <n v="1"/>
    <s v="1"/>
    <s v="1"/>
    <n v="2"/>
    <n v="4"/>
    <n v="0"/>
    <n v="0"/>
    <n v="0"/>
    <n v="0"/>
    <n v="48"/>
    <n v="96"/>
    <n v="50"/>
  </r>
  <r>
    <s v="stuffauckland"/>
    <s v="stuffauckland"/>
    <m/>
    <m/>
    <m/>
    <m/>
    <m/>
    <m/>
    <m/>
    <m/>
    <s v="No"/>
    <n v="79"/>
    <m/>
    <m/>
    <s v="Tweet"/>
    <x v="64"/>
    <s v="Bike Auckland chairperson Tony Mitchell says people won't cycle within cities if it's not safe to to do. https://t.co/xrtblHDDhv"/>
    <s v="https://www.stuff.co.nz/environment/climate-news/128657390/emission-reduction-plan-govts-100km-commitment-to-safe-cycling-unambitious.html?utm_source=dlvr.it&amp;utm_medium=twitter"/>
    <s v="co.nz"/>
    <m/>
    <m/>
    <s v="https://pbs.twimg.com/profile_images/740647118595969024/ZybR2s82_normal.jpg"/>
    <d v="2022-05-16T03:59:34.000"/>
    <d v="2022-05-16T00:00:00.000"/>
    <s v="03:59:34"/>
    <s v="https://twitter.com/stuffauckland/status/1526049695054778368"/>
    <m/>
    <m/>
    <s v="1526049695054778368"/>
    <m/>
    <b v="0"/>
    <n v="2"/>
    <s v=""/>
    <b v="0"/>
    <s v="en"/>
    <m/>
    <s v=""/>
    <b v="0"/>
    <n v="0"/>
    <s v=""/>
    <s v="dlvr.it"/>
    <b v="0"/>
    <s v="1526049695054778368"/>
    <s v="Tweet"/>
    <n v="0"/>
    <n v="0"/>
    <m/>
    <m/>
    <m/>
    <m/>
    <m/>
    <m/>
    <m/>
    <m/>
    <n v="1"/>
    <s v="2"/>
    <s v="2"/>
    <n v="1"/>
    <n v="5.555555555555555"/>
    <n v="0"/>
    <n v="0"/>
    <n v="0"/>
    <n v="0"/>
    <n v="17"/>
    <n v="94.44444444444444"/>
    <n v="18"/>
  </r>
  <r>
    <s v="wsmith01984"/>
    <s v="wsmith01984"/>
    <m/>
    <m/>
    <m/>
    <m/>
    <m/>
    <m/>
    <m/>
    <m/>
    <s v="No"/>
    <n v="80"/>
    <m/>
    <m/>
    <s v="Tweet"/>
    <x v="65"/>
    <s v="Full emission reduction plan report here:_x000a__x000a_Generally supportive, but strongly opposed to the ill-defined 'dirty' car scrapping plan. Does not consider manufacturing emissions. Essentially just lipstick on climate crime._x000a_https://t.co/E1RANZNJeZ"/>
    <s v="https://environment.govt.nz/assets/publications/Aotearoa-New-Zealands-first-emissions-reduction-plan.pdf"/>
    <s v="govt.nz"/>
    <m/>
    <m/>
    <s v="https://pbs.twimg.com/profile_images/1278549685838344195/WJbDOFo8_normal.jpg"/>
    <d v="2022-05-16T04:35:38.000"/>
    <d v="2022-05-16T00:00:00.000"/>
    <s v="04:35:38"/>
    <s v="https://twitter.com/wsmith01984/status/1526058772975587328"/>
    <m/>
    <m/>
    <s v="1526058772975587328"/>
    <m/>
    <b v="0"/>
    <n v="4"/>
    <s v=""/>
    <b v="0"/>
    <s v="en"/>
    <m/>
    <s v=""/>
    <b v="0"/>
    <n v="0"/>
    <s v=""/>
    <s v="Twitter Web App"/>
    <b v="0"/>
    <s v="1526058772975587328"/>
    <s v="Tweet"/>
    <n v="0"/>
    <n v="0"/>
    <m/>
    <m/>
    <m/>
    <m/>
    <m/>
    <m/>
    <m/>
    <m/>
    <n v="1"/>
    <s v="2"/>
    <s v="2"/>
    <n v="1"/>
    <n v="3.3333333333333335"/>
    <n v="1"/>
    <n v="3.3333333333333335"/>
    <n v="0"/>
    <n v="0"/>
    <n v="28"/>
    <n v="93.33333333333333"/>
    <n v="30"/>
  </r>
  <r>
    <s v="patrickmorgan"/>
    <s v="cyclingactionnz"/>
    <m/>
    <m/>
    <m/>
    <m/>
    <m/>
    <m/>
    <m/>
    <m/>
    <s v="No"/>
    <n v="81"/>
    <m/>
    <m/>
    <s v="Mentions"/>
    <x v="66"/>
    <s v="Emission Reduction Plan @CyclingActionNZ #ClimateAction #nzpol #fun #easy #affordable #popular https://t.co/lg9AqHKlaz"/>
    <m/>
    <m/>
    <s v="climateaction nzpol fun easy affordable popular"/>
    <s v="https://pbs.twimg.com/media/FS0sq1YaAAAqw4o.jpg"/>
    <s v="https://pbs.twimg.com/media/FS0sq1YaAAAqw4o.jpg"/>
    <d v="2022-05-15T19:43:56.000"/>
    <d v="2022-05-15T00:00:00.000"/>
    <s v="19:43:56"/>
    <s v="https://twitter.com/patrickmorgan/status/1525924965857787904"/>
    <m/>
    <m/>
    <s v="1525924965857787904"/>
    <m/>
    <b v="0"/>
    <n v="9"/>
    <s v=""/>
    <b v="0"/>
    <s v="en"/>
    <m/>
    <s v=""/>
    <b v="0"/>
    <n v="3"/>
    <s v=""/>
    <s v="Twitter for Android"/>
    <b v="0"/>
    <s v="1525924965857787904"/>
    <s v="Tweet"/>
    <n v="0"/>
    <n v="0"/>
    <m/>
    <m/>
    <m/>
    <m/>
    <m/>
    <m/>
    <m/>
    <m/>
    <n v="2"/>
    <s v="4"/>
    <s v="4"/>
    <n v="4"/>
    <n v="40"/>
    <n v="0"/>
    <n v="0"/>
    <n v="0"/>
    <n v="0"/>
    <n v="6"/>
    <n v="60"/>
    <n v="10"/>
  </r>
  <r>
    <s v="patrickmorgan"/>
    <s v="cyclingactionnz"/>
    <m/>
    <m/>
    <m/>
    <m/>
    <m/>
    <m/>
    <m/>
    <m/>
    <s v="No"/>
    <n v="82"/>
    <m/>
    <m/>
    <s v="Mentions"/>
    <x v="67"/>
    <s v="Useful analysis of today's Emission Reduction Plan - is it glass half full or half empty? @CyclingActionNZ https://t.co/xQhxixce2y"/>
    <s v="https://twitter.com/CriticalMassAKL/status/1526028961393745921"/>
    <s v="twitter.com"/>
    <m/>
    <m/>
    <s v="https://pbs.twimg.com/profile_images/1346958814248017924/D99DDQoK_normal.jpg"/>
    <d v="2022-05-16T04:37:24.000"/>
    <d v="2022-05-16T00:00:00.000"/>
    <s v="04:37:24"/>
    <s v="https://twitter.com/patrickmorgan/status/1526059217471217666"/>
    <m/>
    <m/>
    <s v="1526059217471217666"/>
    <m/>
    <b v="0"/>
    <n v="5"/>
    <s v=""/>
    <b v="1"/>
    <s v="en"/>
    <m/>
    <s v="1526028961393745921"/>
    <b v="0"/>
    <n v="1"/>
    <s v=""/>
    <s v="Twitter Web App"/>
    <b v="0"/>
    <s v="1526059217471217666"/>
    <s v="Tweet"/>
    <n v="0"/>
    <n v="0"/>
    <m/>
    <m/>
    <m/>
    <m/>
    <m/>
    <m/>
    <m/>
    <m/>
    <n v="2"/>
    <s v="4"/>
    <s v="4"/>
    <n v="1"/>
    <n v="6.25"/>
    <n v="0"/>
    <n v="0"/>
    <n v="0"/>
    <n v="0"/>
    <n v="15"/>
    <n v="93.75"/>
    <n v="16"/>
  </r>
  <r>
    <s v="timjonesbooks"/>
    <s v="cyclingactionnz"/>
    <m/>
    <m/>
    <m/>
    <m/>
    <m/>
    <m/>
    <m/>
    <m/>
    <s v="No"/>
    <n v="83"/>
    <m/>
    <m/>
    <s v="MentionsInRetweet"/>
    <x v="68"/>
    <s v="Useful analysis of today's Emission Reduction Plan - is it glass half full or half empty? @CyclingActionNZ https://t.co/xQhxixce2y"/>
    <s v="https://twitter.com/CriticalMassAKL/status/1526028961393745921"/>
    <s v="twitter.com"/>
    <m/>
    <m/>
    <s v="https://pbs.twimg.com/profile_images/929942240998260742/xXq1iDPw_normal.jpg"/>
    <d v="2022-05-16T05:12:23.000"/>
    <d v="2022-05-16T00:00:00.000"/>
    <s v="05:12:23"/>
    <s v="https://twitter.com/timjonesbooks/status/1526068021194006528"/>
    <m/>
    <m/>
    <s v="1526068021194006528"/>
    <m/>
    <b v="0"/>
    <n v="0"/>
    <s v=""/>
    <b v="1"/>
    <s v="en"/>
    <m/>
    <s v="1526028961393745921"/>
    <b v="0"/>
    <n v="1"/>
    <s v="1526059217471217666"/>
    <s v="Twitter Web App"/>
    <b v="0"/>
    <s v="1526059217471217666"/>
    <s v="Tweet"/>
    <n v="0"/>
    <n v="0"/>
    <m/>
    <m/>
    <m/>
    <m/>
    <m/>
    <m/>
    <m/>
    <m/>
    <n v="1"/>
    <s v="4"/>
    <s v="4"/>
    <m/>
    <m/>
    <m/>
    <m/>
    <m/>
    <m/>
    <m/>
    <m/>
    <m/>
  </r>
  <r>
    <s v="themblogger31"/>
    <s v="nashthomas"/>
    <m/>
    <m/>
    <m/>
    <m/>
    <m/>
    <m/>
    <m/>
    <m/>
    <s v="No"/>
    <n v="85"/>
    <m/>
    <m/>
    <s v="Retweet"/>
    <x v="69"/>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340031061930045440/PWCfq1lN_normal.jpg"/>
    <d v="2022-05-16T05:48:32.000"/>
    <d v="2022-05-16T00:00:00.000"/>
    <s v="05:48:32"/>
    <s v="https://twitter.com/themblogger31/status/1526077116651311104"/>
    <m/>
    <m/>
    <s v="1526077116651311104"/>
    <m/>
    <b v="0"/>
    <n v="0"/>
    <s v=""/>
    <b v="0"/>
    <s v="en"/>
    <m/>
    <s v=""/>
    <b v="0"/>
    <n v="13"/>
    <s v="1526013565223567360"/>
    <s v="Twitter for Android"/>
    <b v="0"/>
    <s v="1526013565223567360"/>
    <s v="Tweet"/>
    <n v="0"/>
    <n v="0"/>
    <m/>
    <m/>
    <m/>
    <m/>
    <m/>
    <m/>
    <m/>
    <m/>
    <n v="1"/>
    <s v="1"/>
    <s v="1"/>
    <n v="2"/>
    <n v="4"/>
    <n v="0"/>
    <n v="0"/>
    <n v="0"/>
    <n v="0"/>
    <n v="48"/>
    <n v="96"/>
    <n v="50"/>
  </r>
  <r>
    <s v="anth0888"/>
    <s v="anth0888"/>
    <m/>
    <m/>
    <m/>
    <m/>
    <m/>
    <m/>
    <m/>
    <m/>
    <s v="No"/>
    <n v="86"/>
    <m/>
    <m/>
    <s v="Tweet"/>
    <x v="70"/>
    <s v="Caption:_x000a_Target✅ Plan✅ Jobs✅ Technology✅ Labor’s taxes❌_x000a__x000a_Image:_x000a_&quot;We've got a plan to back jobs and prosperity - the Australian way in a net zero, cleaner world&quot;_x000a_- Tim Wilson MP. Assistant Minister to the Minister for Industry, Energy and Emission Reduction."/>
    <m/>
    <m/>
    <m/>
    <m/>
    <s v="https://pbs.twimg.com/profile_images/1520994280911032320/_E9mvBGQ_normal.jpg"/>
    <d v="2022-05-16T06:00:16.000"/>
    <d v="2022-05-16T00:00:00.000"/>
    <s v="06:00:16"/>
    <s v="https://twitter.com/anth0888/status/1526080070091444224"/>
    <m/>
    <m/>
    <s v="1526080070091444224"/>
    <s v="1526079982535348224"/>
    <b v="0"/>
    <n v="0"/>
    <s v="19370499"/>
    <b v="0"/>
    <s v="en"/>
    <m/>
    <s v=""/>
    <b v="0"/>
    <n v="0"/>
    <s v=""/>
    <s v="Twitter Web App"/>
    <b v="0"/>
    <s v="1526079982535348224"/>
    <s v="Tweet"/>
    <n v="0"/>
    <n v="0"/>
    <m/>
    <m/>
    <m/>
    <m/>
    <m/>
    <m/>
    <m/>
    <m/>
    <n v="1"/>
    <s v="2"/>
    <s v="2"/>
    <n v="2"/>
    <n v="4.878048780487805"/>
    <n v="0"/>
    <n v="0"/>
    <n v="0"/>
    <n v="0"/>
    <n v="39"/>
    <n v="95.1219512195122"/>
    <n v="41"/>
  </r>
  <r>
    <s v="jdeheij"/>
    <s v="jdeheij"/>
    <m/>
    <m/>
    <m/>
    <m/>
    <m/>
    <m/>
    <m/>
    <m/>
    <s v="No"/>
    <n v="87"/>
    <m/>
    <m/>
    <s v="Tweet"/>
    <x v="71"/>
    <s v="Great thread 🧵 that also shows positive things that the Emission Reduction Plan will bring. https://t.co/qndThHVBSy"/>
    <s v="https://twitter.com/nashthomas/status/1526091823403241472"/>
    <s v="twitter.com"/>
    <m/>
    <m/>
    <s v="https://pbs.twimg.com/profile_images/1033290359105761285/T2Db8LvD_normal.jpg"/>
    <d v="2022-05-16T06:51:09.000"/>
    <d v="2022-05-16T00:00:00.000"/>
    <s v="06:51:09"/>
    <s v="https://twitter.com/jdeheij/status/1526092874445914112"/>
    <m/>
    <m/>
    <s v="1526092874445914112"/>
    <m/>
    <b v="0"/>
    <n v="3"/>
    <s v=""/>
    <b v="1"/>
    <s v="en"/>
    <m/>
    <s v="1526091823403241472"/>
    <b v="0"/>
    <n v="0"/>
    <s v=""/>
    <s v="Tweetbot for iΟS"/>
    <b v="0"/>
    <s v="1526092874445914112"/>
    <s v="Tweet"/>
    <n v="0"/>
    <n v="0"/>
    <m/>
    <m/>
    <m/>
    <m/>
    <m/>
    <m/>
    <m/>
    <m/>
    <n v="1"/>
    <s v="2"/>
    <s v="2"/>
    <n v="2"/>
    <n v="14.285714285714286"/>
    <n v="0"/>
    <n v="0"/>
    <n v="0"/>
    <n v="0"/>
    <n v="12"/>
    <n v="85.71428571428571"/>
    <n v="14"/>
  </r>
  <r>
    <s v="jes_af"/>
    <s v="nashthomas"/>
    <m/>
    <m/>
    <m/>
    <m/>
    <m/>
    <m/>
    <m/>
    <m/>
    <s v="No"/>
    <n v="88"/>
    <m/>
    <m/>
    <s v="Retweet"/>
    <x v="72"/>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458308612086849537/rpBqsdH9_normal.jpg"/>
    <d v="2022-05-16T09:23:29.000"/>
    <d v="2022-05-16T00:00:00.000"/>
    <s v="09:23:29"/>
    <s v="https://twitter.com/jes_af/status/1526131210405449728"/>
    <m/>
    <m/>
    <s v="1526131210405449728"/>
    <m/>
    <b v="0"/>
    <n v="0"/>
    <s v=""/>
    <b v="0"/>
    <s v="en"/>
    <m/>
    <s v=""/>
    <b v="0"/>
    <n v="13"/>
    <s v="1526013565223567360"/>
    <s v="Twitter for iPhone"/>
    <b v="0"/>
    <s v="1526013565223567360"/>
    <s v="Tweet"/>
    <n v="0"/>
    <n v="0"/>
    <m/>
    <m/>
    <m/>
    <m/>
    <m/>
    <m/>
    <m/>
    <m/>
    <n v="1"/>
    <s v="1"/>
    <s v="1"/>
    <n v="2"/>
    <n v="4"/>
    <n v="0"/>
    <n v="0"/>
    <n v="0"/>
    <n v="0"/>
    <n v="48"/>
    <n v="96"/>
    <n v="50"/>
  </r>
  <r>
    <s v="lindseyconrow"/>
    <s v="simonkingham"/>
    <m/>
    <m/>
    <m/>
    <m/>
    <m/>
    <m/>
    <m/>
    <m/>
    <s v="No"/>
    <n v="89"/>
    <m/>
    <m/>
    <s v="Mentions"/>
    <x v="73"/>
    <s v="Emission Reduction Plan's transport actions are about providing alternatives and enabling lower-emissions choices says, including for people with lower incomes says @SimonKingham https://t.co/H34kuX8fDa"/>
    <s v="https://twitter.com/GeoHealthLab/status/1526112420481351680"/>
    <s v="twitter.com"/>
    <m/>
    <m/>
    <s v="https://pbs.twimg.com/profile_images/1447317507736424448/XRomCFa1_normal.jpg"/>
    <d v="2022-05-16T10:02:06.000"/>
    <d v="2022-05-16T00:00:00.000"/>
    <s v="10:02:06"/>
    <s v="https://twitter.com/lindseyconrow/status/1526140929274355712"/>
    <m/>
    <m/>
    <s v="1526140929274355712"/>
    <m/>
    <b v="0"/>
    <n v="9"/>
    <s v=""/>
    <b v="1"/>
    <s v="en"/>
    <m/>
    <s v="1526112420481351680"/>
    <b v="0"/>
    <n v="0"/>
    <s v=""/>
    <s v="Twitter Web App"/>
    <b v="0"/>
    <s v="1526140929274355712"/>
    <s v="Tweet"/>
    <n v="0"/>
    <n v="0"/>
    <m/>
    <m/>
    <m/>
    <m/>
    <m/>
    <m/>
    <m/>
    <m/>
    <n v="1"/>
    <s v="19"/>
    <s v="19"/>
    <n v="0"/>
    <n v="0"/>
    <n v="0"/>
    <n v="0"/>
    <n v="0"/>
    <n v="0"/>
    <n v="23"/>
    <n v="100"/>
    <n v="23"/>
  </r>
  <r>
    <s v="guardineer"/>
    <s v="rachelnotley"/>
    <m/>
    <m/>
    <m/>
    <m/>
    <m/>
    <m/>
    <m/>
    <m/>
    <s v="No"/>
    <n v="90"/>
    <m/>
    <m/>
    <s v="Mentions"/>
    <x v="74"/>
    <s v="NZ Emission Reduction Plan encourages #EV purchases. @s_guilbeault @jkenney @RachelNotley https://t.co/WqzFZHApHd"/>
    <s v="https://www.theguardian.com/world/2022/may/16/help-to-buy-evs-in-landmark-new-zealand-net-zero-climate-plan"/>
    <s v="theguardian.com"/>
    <s v="ev"/>
    <m/>
    <s v="https://abs.twimg.com/sticky/default_profile_images/default_profile_normal.png"/>
    <d v="2022-05-16T17:56:32.000"/>
    <d v="2022-05-16T00:00:00.000"/>
    <s v="17:56:32"/>
    <s v="https://twitter.com/guardineer/status/1526260324986257409"/>
    <m/>
    <m/>
    <s v="1526260324986257409"/>
    <m/>
    <b v="0"/>
    <n v="0"/>
    <s v=""/>
    <b v="0"/>
    <s v="en"/>
    <m/>
    <s v=""/>
    <b v="0"/>
    <n v="0"/>
    <s v=""/>
    <s v="Twitter for Android"/>
    <b v="0"/>
    <s v="1526260324986257409"/>
    <s v="Tweet"/>
    <n v="0"/>
    <n v="0"/>
    <m/>
    <m/>
    <m/>
    <m/>
    <m/>
    <m/>
    <m/>
    <m/>
    <n v="1"/>
    <s v="8"/>
    <s v="8"/>
    <m/>
    <m/>
    <m/>
    <m/>
    <m/>
    <m/>
    <m/>
    <m/>
    <m/>
  </r>
  <r>
    <s v="jaackiepaul"/>
    <s v="maoritv"/>
    <m/>
    <m/>
    <m/>
    <m/>
    <m/>
    <m/>
    <m/>
    <m/>
    <s v="No"/>
    <n v="93"/>
    <m/>
    <m/>
    <s v="Mentions"/>
    <x v="75"/>
    <s v="Emission reduction plan; government also launches Māori climate strategy, funding https://t.co/vzfwNEfQNx via @maoritv"/>
    <s v="https://www.teaomaori.news/emission-reduction-plan-government-also-launches-maori-climate-strategy-funding"/>
    <s v="teaomaori.news"/>
    <m/>
    <m/>
    <s v="https://pbs.twimg.com/profile_images/1513088337296654337/cLZ6GCEk_normal.jpg"/>
    <d v="2022-05-16T19:32:10.000"/>
    <d v="2022-05-16T00:00:00.000"/>
    <s v="19:32:10"/>
    <s v="https://twitter.com/jaackiepaul/status/1526284389373444096"/>
    <m/>
    <m/>
    <s v="1526284389373444096"/>
    <m/>
    <b v="0"/>
    <n v="0"/>
    <s v=""/>
    <b v="0"/>
    <s v="en"/>
    <m/>
    <s v=""/>
    <b v="0"/>
    <n v="0"/>
    <s v=""/>
    <s v="Twitter Web App"/>
    <b v="0"/>
    <s v="1526284389373444096"/>
    <s v="Tweet"/>
    <n v="0"/>
    <n v="0"/>
    <m/>
    <m/>
    <m/>
    <m/>
    <m/>
    <m/>
    <m/>
    <m/>
    <n v="1"/>
    <s v="18"/>
    <s v="18"/>
    <n v="0"/>
    <n v="0"/>
    <n v="0"/>
    <n v="0"/>
    <n v="0"/>
    <n v="0"/>
    <n v="12"/>
    <n v="100"/>
    <n v="12"/>
  </r>
  <r>
    <s v="gregpresland"/>
    <s v="nashthomas"/>
    <m/>
    <m/>
    <m/>
    <m/>
    <m/>
    <m/>
    <m/>
    <m/>
    <s v="No"/>
    <n v="94"/>
    <m/>
    <m/>
    <s v="Retweet"/>
    <x v="76"/>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684161878449209344/7gIPnaU5_normal.jpg"/>
    <d v="2022-05-16T20:29:48.000"/>
    <d v="2022-05-16T00:00:00.000"/>
    <s v="20:29:48"/>
    <s v="https://twitter.com/gregpresland/status/1526298895118381056"/>
    <m/>
    <m/>
    <s v="1526298895118381056"/>
    <m/>
    <b v="0"/>
    <n v="0"/>
    <s v=""/>
    <b v="0"/>
    <s v="en"/>
    <m/>
    <s v=""/>
    <b v="0"/>
    <n v="13"/>
    <s v="1526013565223567360"/>
    <s v="Twitter Web App"/>
    <b v="0"/>
    <s v="1526013565223567360"/>
    <s v="Tweet"/>
    <n v="0"/>
    <n v="0"/>
    <m/>
    <m/>
    <m/>
    <m/>
    <m/>
    <m/>
    <m/>
    <m/>
    <n v="1"/>
    <s v="1"/>
    <s v="1"/>
    <n v="2"/>
    <n v="4"/>
    <n v="0"/>
    <n v="0"/>
    <n v="0"/>
    <n v="0"/>
    <n v="48"/>
    <n v="96"/>
    <n v="50"/>
  </r>
  <r>
    <s v="iscouncil_"/>
    <s v="iscouncil_"/>
    <m/>
    <m/>
    <m/>
    <m/>
    <m/>
    <m/>
    <m/>
    <m/>
    <s v="No"/>
    <n v="95"/>
    <m/>
    <m/>
    <s v="Tweet"/>
    <x v="77"/>
    <s v="Our congratulations to the government in Aotearoa New Zealand on the issuance of their inaugural Emission Reduction Plan with the first three emissions budgets agreed last week. #sustainableinfrastructure #newzealand #infrastructure https://t.co/sk0tvFNF8e"/>
    <s v="https://twitter.com/environmentgvnz/status/1525989421895532544"/>
    <s v="twitter.com"/>
    <s v="sustainableinfrastructure newzealand infrastructure"/>
    <m/>
    <s v="https://pbs.twimg.com/profile_images/1426700055516307457/gHOEvqg2_normal.png"/>
    <d v="2022-05-16T21:05:45.000"/>
    <d v="2022-05-16T00:00:00.000"/>
    <s v="21:05:45"/>
    <s v="https://twitter.com/iscouncil_/status/1526307940432433152"/>
    <m/>
    <m/>
    <s v="1526307940432433152"/>
    <m/>
    <b v="0"/>
    <n v="2"/>
    <s v=""/>
    <b v="1"/>
    <s v="en"/>
    <m/>
    <s v="1525989421895532544"/>
    <b v="0"/>
    <n v="0"/>
    <s v=""/>
    <s v="Twitter Web App"/>
    <b v="0"/>
    <s v="1526307940432433152"/>
    <s v="Tweet"/>
    <n v="0"/>
    <n v="0"/>
    <m/>
    <m/>
    <m/>
    <m/>
    <m/>
    <m/>
    <m/>
    <m/>
    <n v="1"/>
    <s v="2"/>
    <s v="2"/>
    <n v="1"/>
    <n v="3.3333333333333335"/>
    <n v="0"/>
    <n v="0"/>
    <n v="0"/>
    <n v="0"/>
    <n v="29"/>
    <n v="96.66666666666667"/>
    <n v="30"/>
  </r>
  <r>
    <s v="otautaut"/>
    <s v="climatejusticet"/>
    <m/>
    <m/>
    <m/>
    <m/>
    <m/>
    <m/>
    <m/>
    <m/>
    <s v="No"/>
    <n v="96"/>
    <m/>
    <m/>
    <s v="Retweet"/>
    <x v="78"/>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400656170721759236/de-5bOBZ_normal.jpg"/>
    <d v="2022-05-16T21:05:59.000"/>
    <d v="2022-05-16T00:00:00.000"/>
    <s v="21:05:59"/>
    <s v="https://twitter.com/otautaut/status/1526307999996059648"/>
    <m/>
    <m/>
    <s v="1526307999996059648"/>
    <m/>
    <b v="0"/>
    <n v="0"/>
    <s v=""/>
    <b v="0"/>
    <s v="en"/>
    <m/>
    <s v=""/>
    <b v="0"/>
    <n v="14"/>
    <s v="1526021856079511552"/>
    <s v="Twitter Web App"/>
    <b v="0"/>
    <s v="1526021856079511552"/>
    <s v="Tweet"/>
    <n v="0"/>
    <n v="0"/>
    <m/>
    <m/>
    <m/>
    <m/>
    <m/>
    <m/>
    <m/>
    <m/>
    <n v="1"/>
    <s v="3"/>
    <s v="3"/>
    <n v="1"/>
    <n v="2.3255813953488373"/>
    <n v="0"/>
    <n v="0"/>
    <n v="0"/>
    <n v="0"/>
    <n v="42"/>
    <n v="97.67441860465117"/>
    <n v="43"/>
  </r>
  <r>
    <s v="leftiebynature"/>
    <s v="climatejusticet"/>
    <m/>
    <m/>
    <m/>
    <m/>
    <m/>
    <m/>
    <m/>
    <m/>
    <s v="No"/>
    <n v="97"/>
    <m/>
    <m/>
    <s v="Retweet"/>
    <x v="79"/>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363300913352380416/JpZOFKpj_normal.jpg"/>
    <d v="2022-05-16T21:38:26.000"/>
    <d v="2022-05-16T00:00:00.000"/>
    <s v="21:38:26"/>
    <s v="https://twitter.com/leftiebynature/status/1526316167056732160"/>
    <m/>
    <m/>
    <s v="1526316167056732160"/>
    <m/>
    <b v="0"/>
    <n v="0"/>
    <s v=""/>
    <b v="0"/>
    <s v="en"/>
    <m/>
    <s v=""/>
    <b v="0"/>
    <n v="14"/>
    <s v="1526021856079511552"/>
    <s v="Twitter for iPhone"/>
    <b v="0"/>
    <s v="1526021856079511552"/>
    <s v="Tweet"/>
    <n v="0"/>
    <n v="0"/>
    <m/>
    <m/>
    <m/>
    <m/>
    <m/>
    <m/>
    <m/>
    <m/>
    <n v="1"/>
    <s v="3"/>
    <s v="3"/>
    <n v="1"/>
    <n v="2.3255813953488373"/>
    <n v="0"/>
    <n v="0"/>
    <n v="0"/>
    <n v="0"/>
    <n v="42"/>
    <n v="97.67441860465117"/>
    <n v="43"/>
  </r>
  <r>
    <s v="3ku1111"/>
    <s v="nashthomas"/>
    <m/>
    <m/>
    <m/>
    <m/>
    <m/>
    <m/>
    <m/>
    <m/>
    <s v="No"/>
    <n v="98"/>
    <m/>
    <m/>
    <s v="Retweet"/>
    <x v="80"/>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16568495206858754/lSuH1e_Y_normal.jpg"/>
    <d v="2022-05-16T05:38:03.000"/>
    <d v="2022-05-16T00:00:00.000"/>
    <s v="05:38:03"/>
    <s v="https://twitter.com/3ku1111/status/1526074478706708480"/>
    <m/>
    <m/>
    <s v="1526074478706708480"/>
    <m/>
    <b v="0"/>
    <n v="0"/>
    <s v=""/>
    <b v="0"/>
    <s v="en"/>
    <m/>
    <s v=""/>
    <b v="0"/>
    <n v="13"/>
    <s v="1526013565223567360"/>
    <s v="Twitter for iPhone"/>
    <b v="0"/>
    <s v="1526013565223567360"/>
    <s v="Tweet"/>
    <n v="0"/>
    <n v="0"/>
    <m/>
    <m/>
    <m/>
    <m/>
    <m/>
    <m/>
    <m/>
    <m/>
    <n v="1"/>
    <s v="1"/>
    <s v="1"/>
    <n v="2"/>
    <n v="4"/>
    <n v="0"/>
    <n v="0"/>
    <n v="0"/>
    <n v="0"/>
    <n v="48"/>
    <n v="96"/>
    <n v="50"/>
  </r>
  <r>
    <s v="3ku1111"/>
    <s v="3ku1111"/>
    <m/>
    <m/>
    <m/>
    <m/>
    <m/>
    <m/>
    <m/>
    <m/>
    <s v="No"/>
    <n v="99"/>
    <m/>
    <m/>
    <s v="Tweet"/>
    <x v="81"/>
    <s v="On the emission reduction package. It’s too centrist. It does not go far enough. But it’s a good stepping stone. If you want more vote Greens. As I plan to do next years GE #nzpol"/>
    <m/>
    <m/>
    <s v="nzpol"/>
    <m/>
    <s v="https://pbs.twimg.com/profile_images/1516568495206858754/lSuH1e_Y_normal.jpg"/>
    <d v="2022-05-17T02:04:18.000"/>
    <d v="2022-05-17T00:00:00.000"/>
    <s v="02:04:18"/>
    <s v="https://twitter.com/3ku1111/status/1526383074397024256"/>
    <m/>
    <m/>
    <s v="1526383074397024256"/>
    <m/>
    <b v="0"/>
    <n v="0"/>
    <s v=""/>
    <b v="0"/>
    <s v="en"/>
    <m/>
    <s v=""/>
    <b v="0"/>
    <n v="0"/>
    <s v=""/>
    <s v="Twitter for iPhone"/>
    <b v="0"/>
    <s v="1526383074397024256"/>
    <s v="Tweet"/>
    <n v="0"/>
    <n v="0"/>
    <m/>
    <m/>
    <m/>
    <m/>
    <m/>
    <m/>
    <m/>
    <m/>
    <n v="1"/>
    <s v="1"/>
    <s v="1"/>
    <n v="2"/>
    <n v="5.405405405405405"/>
    <n v="0"/>
    <n v="0"/>
    <n v="0"/>
    <n v="0"/>
    <n v="35"/>
    <n v="94.5945945945946"/>
    <n v="37"/>
  </r>
  <r>
    <s v="jimrosenz"/>
    <s v="radionz"/>
    <m/>
    <m/>
    <m/>
    <m/>
    <m/>
    <m/>
    <m/>
    <m/>
    <s v="No"/>
    <n v="100"/>
    <m/>
    <m/>
    <s v="Retweet"/>
    <x v="82"/>
    <s v="The government is spending $650m over four years, as part of its Emissions Reduction Plan, on moving industries away from using fossil fuels. The National Party Leader does not think taxpayers should subsidise the cost. https://t.co/9wPP76xu2I"/>
    <s v="https://www.rnz.co.nz/news/political/467287/national-leader-christopher-luxon-says-no-to-corporate-welfare-for-climate-emission-reductions"/>
    <s v="co.nz"/>
    <m/>
    <m/>
    <s v="https://pbs.twimg.com/profile_images/442907058044542976/GFUPkyFi_normal.jpeg"/>
    <d v="2022-05-17T03:13:02.000"/>
    <d v="2022-05-17T00:00:00.000"/>
    <s v="03:13:02"/>
    <s v="https://twitter.com/jimrosenz/status/1526400374005207040"/>
    <m/>
    <m/>
    <s v="1526400374005207040"/>
    <m/>
    <b v="0"/>
    <n v="0"/>
    <s v=""/>
    <b v="0"/>
    <s v="en"/>
    <m/>
    <s v=""/>
    <b v="0"/>
    <n v="2"/>
    <s v="1526398291532910597"/>
    <s v="Twitter for Android"/>
    <b v="0"/>
    <s v="1526398291532910597"/>
    <s v="Tweet"/>
    <n v="0"/>
    <n v="0"/>
    <m/>
    <m/>
    <m/>
    <m/>
    <m/>
    <m/>
    <m/>
    <m/>
    <n v="1"/>
    <s v="12"/>
    <s v="12"/>
    <n v="0"/>
    <n v="0"/>
    <n v="0"/>
    <n v="0"/>
    <n v="0"/>
    <n v="0"/>
    <n v="35"/>
    <n v="100"/>
    <n v="35"/>
  </r>
  <r>
    <s v="bjafari"/>
    <s v="bjafari"/>
    <m/>
    <m/>
    <m/>
    <m/>
    <m/>
    <m/>
    <m/>
    <m/>
    <s v="No"/>
    <n v="101"/>
    <m/>
    <m/>
    <s v="Tweet"/>
    <x v="83"/>
    <s v="NZ continues to add to its transport decarbonisation plan with the Clean Car Upgrade for low and middle income households. This comes on top of its feebate and fuel efficiency standard schemes._x000a_https://t.co/JTKIT1YTuf"/>
    <s v="https://www.newshub.co.nz/home/politics/2022/05/emissions-reduction-plan-transport-takes-leading-role-with-scrap-and-replace-low-emission-vehicle-leasing-trials-announced.html"/>
    <s v="co.nz"/>
    <m/>
    <m/>
    <s v="https://pbs.twimg.com/profile_images/1509402652119298053/6dJa4CvD_normal.jpg"/>
    <d v="2022-05-16T02:20:37.000"/>
    <d v="2022-05-16T00:00:00.000"/>
    <s v="02:20:37"/>
    <s v="https://twitter.com/bjafari/status/1526024793392553986"/>
    <m/>
    <m/>
    <s v="1526024793392553986"/>
    <m/>
    <b v="0"/>
    <n v="4"/>
    <s v=""/>
    <b v="0"/>
    <s v="en"/>
    <m/>
    <s v=""/>
    <b v="0"/>
    <n v="1"/>
    <s v=""/>
    <s v="Twitter Web App"/>
    <b v="0"/>
    <s v="1526024793392553986"/>
    <s v="Tweet"/>
    <n v="0"/>
    <n v="0"/>
    <m/>
    <m/>
    <m/>
    <m/>
    <m/>
    <m/>
    <m/>
    <m/>
    <n v="1"/>
    <s v="17"/>
    <s v="17"/>
    <n v="2"/>
    <n v="6.25"/>
    <n v="0"/>
    <n v="0"/>
    <n v="0"/>
    <n v="0"/>
    <n v="30"/>
    <n v="93.75"/>
    <n v="32"/>
  </r>
  <r>
    <s v="geoffrey_payne"/>
    <s v="bjafari"/>
    <m/>
    <m/>
    <m/>
    <m/>
    <m/>
    <m/>
    <m/>
    <m/>
    <s v="No"/>
    <n v="102"/>
    <m/>
    <m/>
    <s v="Retweet"/>
    <x v="84"/>
    <s v="NZ continues to add to its transport decarbonisation plan with the Clean Car Upgrade for low and middle income households. This comes on top of its feebate and fuel efficiency standard schemes._x000a_https://t.co/JTKIT1YTuf"/>
    <s v="https://www.newshub.co.nz/home/politics/2022/05/emissions-reduction-plan-transport-takes-leading-role-with-scrap-and-replace-low-emission-vehicle-leasing-trials-announced.html"/>
    <s v="co.nz"/>
    <m/>
    <m/>
    <s v="https://pbs.twimg.com/profile_images/1404947351886721032/DL8rdwb4_normal.jpg"/>
    <d v="2022-05-17T03:21:34.000"/>
    <d v="2022-05-17T00:00:00.000"/>
    <s v="03:21:34"/>
    <s v="https://twitter.com/geoffrey_payne/status/1526402521530372096"/>
    <m/>
    <m/>
    <s v="1526402521530372096"/>
    <m/>
    <b v="0"/>
    <n v="0"/>
    <s v=""/>
    <b v="0"/>
    <s v="en"/>
    <m/>
    <s v=""/>
    <b v="0"/>
    <n v="1"/>
    <s v="1526024793392553986"/>
    <s v="Twitter Web App"/>
    <b v="0"/>
    <s v="1526024793392553986"/>
    <s v="Tweet"/>
    <n v="0"/>
    <n v="0"/>
    <m/>
    <m/>
    <m/>
    <m/>
    <m/>
    <m/>
    <m/>
    <m/>
    <n v="1"/>
    <s v="17"/>
    <s v="17"/>
    <n v="2"/>
    <n v="6.25"/>
    <n v="0"/>
    <n v="0"/>
    <n v="0"/>
    <n v="0"/>
    <n v="30"/>
    <n v="93.75"/>
    <n v="32"/>
  </r>
  <r>
    <s v="radionz"/>
    <s v="radionz"/>
    <m/>
    <m/>
    <m/>
    <m/>
    <m/>
    <m/>
    <m/>
    <m/>
    <s v="No"/>
    <n v="103"/>
    <m/>
    <m/>
    <s v="Tweet"/>
    <x v="85"/>
    <s v="The government is spending $650m over four years, as part of its Emissions Reduction Plan, on moving industries away from using fossil fuels. The National Party Leader does not think taxpayers should subsidise the cost. https://t.co/9wPP76xu2I"/>
    <s v="https://www.rnz.co.nz/news/political/467287/national-leader-christopher-luxon-says-no-to-corporate-welfare-for-climate-emission-reductions"/>
    <s v="co.nz"/>
    <m/>
    <m/>
    <s v="https://pbs.twimg.com/profile_images/1298490434147164160/f3vP1LJU_normal.jpg"/>
    <d v="2022-05-17T03:04:46.000"/>
    <d v="2022-05-17T00:00:00.000"/>
    <s v="03:04:46"/>
    <s v="https://twitter.com/radionz/status/1526398291532910597"/>
    <m/>
    <m/>
    <s v="1526398291532910597"/>
    <m/>
    <b v="0"/>
    <n v="7"/>
    <s v=""/>
    <b v="0"/>
    <s v="en"/>
    <m/>
    <s v=""/>
    <b v="0"/>
    <n v="2"/>
    <s v=""/>
    <s v="Twitter Web App"/>
    <b v="0"/>
    <s v="1526398291532910597"/>
    <s v="Tweet"/>
    <n v="0"/>
    <n v="0"/>
    <m/>
    <m/>
    <m/>
    <m/>
    <m/>
    <m/>
    <m/>
    <m/>
    <n v="1"/>
    <s v="12"/>
    <s v="12"/>
    <n v="0"/>
    <n v="0"/>
    <n v="0"/>
    <n v="0"/>
    <n v="0"/>
    <n v="0"/>
    <n v="35"/>
    <n v="100"/>
    <n v="35"/>
  </r>
  <r>
    <s v="lordfusitua"/>
    <s v="radionz"/>
    <m/>
    <m/>
    <m/>
    <m/>
    <m/>
    <m/>
    <m/>
    <m/>
    <s v="No"/>
    <n v="104"/>
    <m/>
    <m/>
    <s v="Retweet"/>
    <x v="86"/>
    <s v="The government is spending $650m over four years, as part of its Emissions Reduction Plan, on moving industries away from using fossil fuels. The National Party Leader does not think taxpayers should subsidise the cost. https://t.co/9wPP76xu2I"/>
    <s v="https://www.rnz.co.nz/news/political/467287/national-leader-christopher-luxon-says-no-to-corporate-welfare-for-climate-emission-reductions"/>
    <s v="co.nz"/>
    <m/>
    <m/>
    <s v="https://pbs.twimg.com/profile_images/1511890587586560000/xGb_Dq_D_normal.jpg"/>
    <d v="2022-05-17T03:27:43.000"/>
    <d v="2022-05-17T00:00:00.000"/>
    <s v="03:27:43"/>
    <s v="https://twitter.com/lordfusitua/status/1526404068608200704"/>
    <m/>
    <m/>
    <s v="1526404068608200704"/>
    <m/>
    <b v="0"/>
    <n v="0"/>
    <s v=""/>
    <b v="0"/>
    <s v="en"/>
    <m/>
    <s v=""/>
    <b v="0"/>
    <n v="2"/>
    <s v="1526398291532910597"/>
    <s v="Twitter for iPhone"/>
    <b v="0"/>
    <s v="1526398291532910597"/>
    <s v="Tweet"/>
    <n v="0"/>
    <n v="0"/>
    <m/>
    <m/>
    <m/>
    <m/>
    <m/>
    <m/>
    <m/>
    <m/>
    <n v="1"/>
    <s v="12"/>
    <s v="12"/>
    <n v="0"/>
    <n v="0"/>
    <n v="0"/>
    <n v="0"/>
    <n v="0"/>
    <n v="0"/>
    <n v="35"/>
    <n v="100"/>
    <n v="35"/>
  </r>
  <r>
    <s v="emuga12"/>
    <s v="nashthomas"/>
    <m/>
    <m/>
    <m/>
    <m/>
    <m/>
    <m/>
    <m/>
    <m/>
    <s v="No"/>
    <n v="105"/>
    <m/>
    <m/>
    <s v="Retweet"/>
    <x v="8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116976358184214529/9Xp3aqge_normal.jpg"/>
    <d v="2022-05-17T03:32:21.000"/>
    <d v="2022-05-17T00:00:00.000"/>
    <s v="03:32:21"/>
    <s v="https://twitter.com/emuga12/status/1526405231504142336"/>
    <m/>
    <m/>
    <s v="1526405231504142336"/>
    <m/>
    <b v="0"/>
    <n v="0"/>
    <s v=""/>
    <b v="0"/>
    <s v="en"/>
    <m/>
    <s v=""/>
    <b v="0"/>
    <n v="11"/>
    <s v="1525998057963200512"/>
    <s v="Twitter for iPhone"/>
    <b v="0"/>
    <s v="1525998057963200512"/>
    <s v="Tweet"/>
    <n v="0"/>
    <n v="0"/>
    <m/>
    <m/>
    <m/>
    <m/>
    <m/>
    <m/>
    <m/>
    <m/>
    <n v="1"/>
    <s v="1"/>
    <s v="1"/>
    <n v="1"/>
    <n v="2.272727272727273"/>
    <n v="0"/>
    <n v="0"/>
    <n v="0"/>
    <n v="0"/>
    <n v="43"/>
    <n v="97.72727272727273"/>
    <n v="44"/>
  </r>
  <r>
    <s v="garethhughesnz"/>
    <s v="thespinofftv"/>
    <m/>
    <m/>
    <m/>
    <m/>
    <m/>
    <m/>
    <m/>
    <m/>
    <s v="No"/>
    <n v="106"/>
    <m/>
    <m/>
    <s v="Mentions"/>
    <x v="88"/>
    <s v="Is New Zealand doing all it can on climate change after yesterday’s Emission Reduction Plan? I wrote down my thoughts on the ERP for @TheSpinoffTV _x000a__x000a_https://t.co/hCNCp7EVrD"/>
    <s v="https://thespinoff.co.nz/politics/17-05-2022/the-erp-is-a-step-in-the-right-direction-but-wheres-the-ambition"/>
    <s v="co.nz"/>
    <m/>
    <m/>
    <s v="https://pbs.twimg.com/profile_images/1364502007055142912/VYk1wxxp_normal.jpg"/>
    <d v="2022-05-17T00:07:49.000"/>
    <d v="2022-05-17T00:00:00.000"/>
    <s v="00:07:49"/>
    <s v="https://twitter.com/garethhughesnz/status/1526353762180550656"/>
    <m/>
    <m/>
    <s v="1526353762180550656"/>
    <m/>
    <b v="0"/>
    <n v="8"/>
    <s v=""/>
    <b v="0"/>
    <s v="en"/>
    <m/>
    <s v=""/>
    <b v="0"/>
    <n v="1"/>
    <s v=""/>
    <s v="Twitter for iPhone"/>
    <b v="0"/>
    <s v="1526353762180550656"/>
    <s v="Tweet"/>
    <n v="0"/>
    <n v="0"/>
    <m/>
    <m/>
    <m/>
    <m/>
    <m/>
    <m/>
    <m/>
    <m/>
    <n v="1"/>
    <s v="11"/>
    <s v="11"/>
    <n v="0"/>
    <n v="0"/>
    <n v="0"/>
    <n v="0"/>
    <n v="0"/>
    <n v="0"/>
    <n v="26"/>
    <n v="100"/>
    <n v="26"/>
  </r>
  <r>
    <s v="weall_aotearoa"/>
    <s v="thespinofftv"/>
    <m/>
    <m/>
    <m/>
    <m/>
    <m/>
    <m/>
    <m/>
    <m/>
    <s v="No"/>
    <n v="107"/>
    <m/>
    <m/>
    <s v="MentionsInRetweet"/>
    <x v="89"/>
    <s v="Is New Zealand doing all it can on climate change after yesterday’s Emission Reduction Plan? I wrote down my thoughts on the ERP for @TheSpinoffTV _x000a__x000a_https://t.co/hCNCp7EVrD"/>
    <s v="https://thespinoff.co.nz/politics/17-05-2022/the-erp-is-a-step-in-the-right-direction-but-wheres-the-ambition"/>
    <s v="co.nz"/>
    <m/>
    <m/>
    <s v="https://pbs.twimg.com/profile_images/1526754636014579713/oQvAjr0Y_normal.jpg"/>
    <d v="2022-05-17T07:31:55.000"/>
    <d v="2022-05-17T00:00:00.000"/>
    <s v="07:31:55"/>
    <s v="https://twitter.com/weall_aotearoa/status/1526465521134485510"/>
    <m/>
    <m/>
    <s v="1526465521134485510"/>
    <m/>
    <b v="0"/>
    <n v="0"/>
    <s v=""/>
    <b v="0"/>
    <s v="en"/>
    <m/>
    <s v=""/>
    <b v="0"/>
    <n v="1"/>
    <s v="1526353762180550656"/>
    <s v="Twitter for iPhone"/>
    <b v="0"/>
    <s v="1526353762180550656"/>
    <s v="Tweet"/>
    <n v="0"/>
    <n v="0"/>
    <m/>
    <m/>
    <m/>
    <m/>
    <m/>
    <m/>
    <m/>
    <m/>
    <n v="1"/>
    <s v="11"/>
    <s v="11"/>
    <m/>
    <m/>
    <m/>
    <m/>
    <m/>
    <m/>
    <m/>
    <m/>
    <m/>
  </r>
  <r>
    <s v="climatejusticet"/>
    <s v="climatejusticet"/>
    <m/>
    <m/>
    <m/>
    <m/>
    <m/>
    <m/>
    <m/>
    <m/>
    <s v="No"/>
    <n v="109"/>
    <m/>
    <m/>
    <s v="Tweet"/>
    <x v="90"/>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438825798664790022/_-j5pae4_normal.jpg"/>
    <d v="2022-05-16T02:08:57.000"/>
    <d v="2022-05-16T00:00:00.000"/>
    <s v="02:08:57"/>
    <s v="https://twitter.com/climatejusticet/status/1526021856079511552"/>
    <m/>
    <m/>
    <s v="1526021856079511552"/>
    <m/>
    <b v="0"/>
    <n v="69"/>
    <s v=""/>
    <b v="0"/>
    <s v="en"/>
    <m/>
    <s v=""/>
    <b v="0"/>
    <n v="14"/>
    <s v=""/>
    <s v="Twitter Web App"/>
    <b v="0"/>
    <s v="1526021856079511552"/>
    <s v="Tweet"/>
    <n v="0"/>
    <n v="0"/>
    <m/>
    <m/>
    <m/>
    <m/>
    <m/>
    <m/>
    <m/>
    <m/>
    <n v="1"/>
    <s v="3"/>
    <s v="3"/>
    <n v="1"/>
    <n v="2.3255813953488373"/>
    <n v="0"/>
    <n v="0"/>
    <n v="0"/>
    <n v="0"/>
    <n v="42"/>
    <n v="97.67441860465117"/>
    <n v="43"/>
  </r>
  <r>
    <s v="envirdebbie"/>
    <s v="climatejusticet"/>
    <m/>
    <m/>
    <m/>
    <m/>
    <m/>
    <m/>
    <m/>
    <m/>
    <s v="No"/>
    <n v="110"/>
    <m/>
    <m/>
    <s v="Retweet"/>
    <x v="91"/>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512171613139378176/dHrGkvuq_normal.jpg"/>
    <d v="2022-05-17T08:35:59.000"/>
    <d v="2022-05-17T00:00:00.000"/>
    <s v="08:35:59"/>
    <s v="https://twitter.com/envirdebbie/status/1526481643485413377"/>
    <m/>
    <m/>
    <s v="1526481643485413377"/>
    <m/>
    <b v="0"/>
    <n v="0"/>
    <s v=""/>
    <b v="0"/>
    <s v="en"/>
    <m/>
    <s v=""/>
    <b v="0"/>
    <n v="14"/>
    <s v="1526021856079511552"/>
    <s v="Twitter for iPhone"/>
    <b v="0"/>
    <s v="1526021856079511552"/>
    <s v="Tweet"/>
    <n v="0"/>
    <n v="0"/>
    <m/>
    <m/>
    <m/>
    <m/>
    <m/>
    <m/>
    <m/>
    <m/>
    <n v="1"/>
    <s v="3"/>
    <s v="3"/>
    <n v="1"/>
    <n v="2.3255813953488373"/>
    <n v="0"/>
    <n v="0"/>
    <n v="0"/>
    <n v="0"/>
    <n v="42"/>
    <n v="97.67441860465117"/>
    <n v="43"/>
  </r>
  <r>
    <s v="needlesineyes"/>
    <s v="chrisminnsmp"/>
    <m/>
    <m/>
    <m/>
    <m/>
    <m/>
    <m/>
    <m/>
    <m/>
    <s v="No"/>
    <n v="111"/>
    <m/>
    <m/>
    <s v="Mentions"/>
    <x v="92"/>
    <s v="#Canada has unveiled a $9 billion “2030 emissions reduction plan” with several provisions aimed at lowering the country's emissions, including a plan to mandate 20% zero-emission new light-duty vehicle sales in 2026, rising to 60% by 2030 and 100% by 2035. @ChrisMinnsMP #NSW"/>
    <m/>
    <m/>
    <s v="canada nsw"/>
    <m/>
    <s v="https://pbs.twimg.com/profile_images/1124518934995013632/e7CqR2Cn_normal.jpg"/>
    <d v="2022-05-17T08:52:28.000"/>
    <d v="2022-05-17T00:00:00.000"/>
    <s v="08:52:28"/>
    <s v="https://twitter.com/needlesineyes/status/1526485792893284354"/>
    <m/>
    <m/>
    <s v="1526485792893284354"/>
    <m/>
    <b v="0"/>
    <n v="0"/>
    <s v=""/>
    <b v="0"/>
    <s v="en"/>
    <m/>
    <s v=""/>
    <b v="0"/>
    <n v="0"/>
    <s v=""/>
    <s v="Twitter for iPhone"/>
    <b v="0"/>
    <s v="1526485792893284354"/>
    <s v="Tweet"/>
    <n v="0"/>
    <n v="0"/>
    <m/>
    <m/>
    <m/>
    <m/>
    <m/>
    <m/>
    <m/>
    <m/>
    <n v="1"/>
    <s v="16"/>
    <s v="16"/>
    <n v="0"/>
    <n v="0"/>
    <n v="0"/>
    <n v="0"/>
    <n v="0"/>
    <n v="0"/>
    <n v="45"/>
    <n v="100"/>
    <n v="45"/>
  </r>
  <r>
    <s v="izzorv6"/>
    <s v="izzorv6"/>
    <m/>
    <m/>
    <m/>
    <m/>
    <m/>
    <m/>
    <m/>
    <m/>
    <s v="No"/>
    <n v="112"/>
    <m/>
    <m/>
    <s v="Tweet"/>
    <x v="93"/>
    <s v="New Zealand families will be encouraged to scrap their old vehicles in exchange for low-emission alternatives under the government’s Emissions Reduction Plan, with more details to be revealed when the 2022 budget is released.  # # # # # # #_x000a__x000a_https://t.co/IENkyaQwGQ https://t.co/sxJjYQ588K"/>
    <s v="https://truthusa.us/business-news/new-zealand-government-to-use-emission-trading-scheme-to-fund-ev-rollout/"/>
    <s v="truthusa.us"/>
    <m/>
    <s v="https://pbs.twimg.com/media/FS88bgXWQAEDE5I.jpg"/>
    <s v="https://pbs.twimg.com/media/FS88bgXWQAEDE5I.jpg"/>
    <d v="2022-05-17T10:09:45.000"/>
    <d v="2022-05-17T00:00:00.000"/>
    <s v="10:09:45"/>
    <s v="https://twitter.com/izzorv6/status/1526505243541913600"/>
    <m/>
    <m/>
    <s v="1526505243541913600"/>
    <m/>
    <b v="0"/>
    <n v="1"/>
    <s v=""/>
    <b v="0"/>
    <s v="en"/>
    <m/>
    <s v=""/>
    <b v="0"/>
    <n v="1"/>
    <s v=""/>
    <s v="Blog2Social APP"/>
    <b v="0"/>
    <s v="1526505243541913600"/>
    <s v="Tweet"/>
    <n v="0"/>
    <n v="0"/>
    <m/>
    <m/>
    <m/>
    <m/>
    <m/>
    <m/>
    <m/>
    <m/>
    <n v="1"/>
    <s v="15"/>
    <s v="15"/>
    <n v="0"/>
    <n v="0"/>
    <n v="1"/>
    <n v="2.7777777777777777"/>
    <n v="0"/>
    <n v="0"/>
    <n v="35"/>
    <n v="97.22222222222223"/>
    <n v="36"/>
  </r>
  <r>
    <s v="l_pugmire"/>
    <s v="izzorv6"/>
    <m/>
    <m/>
    <m/>
    <m/>
    <m/>
    <m/>
    <m/>
    <m/>
    <s v="No"/>
    <n v="113"/>
    <m/>
    <m/>
    <s v="Retweet"/>
    <x v="94"/>
    <s v="New Zealand families will be encouraged to scrap their old vehicles in exchange for low-emission alternatives under the government’s Emissions Reduction Plan, with more details to be revealed when the 2022 budget is released.  # # # # # # #_x000a__x000a_https://t.co/IENkyaQwGQ https://t.co/sxJjYQ588K"/>
    <s v="https://truthusa.us/business-news/new-zealand-government-to-use-emission-trading-scheme-to-fund-ev-rollout/"/>
    <s v="truthusa.us"/>
    <m/>
    <s v="https://pbs.twimg.com/media/FS88bgXWQAEDE5I.jpg"/>
    <s v="https://pbs.twimg.com/media/FS88bgXWQAEDE5I.jpg"/>
    <d v="2022-05-17T10:47:20.000"/>
    <d v="2022-05-17T00:00:00.000"/>
    <s v="10:47:20"/>
    <s v="https://twitter.com/l_pugmire/status/1526514702301696000"/>
    <m/>
    <m/>
    <s v="1526514702301696000"/>
    <m/>
    <b v="0"/>
    <n v="0"/>
    <s v=""/>
    <b v="0"/>
    <s v="en"/>
    <m/>
    <s v=""/>
    <b v="0"/>
    <n v="1"/>
    <s v="1526505243541913600"/>
    <s v="Twitter for iPhone"/>
    <b v="0"/>
    <s v="1526505243541913600"/>
    <s v="Tweet"/>
    <n v="0"/>
    <n v="0"/>
    <m/>
    <m/>
    <m/>
    <m/>
    <m/>
    <m/>
    <m/>
    <m/>
    <n v="1"/>
    <s v="15"/>
    <s v="15"/>
    <n v="0"/>
    <n v="0"/>
    <n v="1"/>
    <n v="2.7777777777777777"/>
    <n v="0"/>
    <n v="0"/>
    <n v="35"/>
    <n v="97.22222222222223"/>
    <n v="36"/>
  </r>
  <r>
    <s v="mark_tilly1"/>
    <s v="carbonpulse"/>
    <m/>
    <m/>
    <m/>
    <m/>
    <m/>
    <m/>
    <m/>
    <m/>
    <s v="No"/>
    <n v="114"/>
    <m/>
    <m/>
    <s v="Mentions"/>
    <x v="95"/>
    <s v="The Climate Forestry Association has argued #NZ will be unable to reach net zero if its bans exotics from its ETS, following the release of the govt's Emission Reduction Plan. _x000a_🗞️@CarbonPulse_x000a_https://t.co/vUzBOEHD3Y"/>
    <s v="https://carbon-pulse.com/159647/"/>
    <s v="carbon-pulse.com"/>
    <s v="nz"/>
    <m/>
    <s v="https://pbs.twimg.com/profile_images/1235481437630918658/iHZsj1Q2_normal.jpg"/>
    <d v="2022-05-17T12:00:21.000"/>
    <d v="2022-05-17T00:00:00.000"/>
    <s v="12:00:21"/>
    <s v="https://twitter.com/mark_tilly1/status/1526533075987238912"/>
    <m/>
    <m/>
    <s v="1526533075987238912"/>
    <m/>
    <b v="0"/>
    <n v="0"/>
    <s v=""/>
    <b v="0"/>
    <s v="en"/>
    <m/>
    <s v=""/>
    <b v="0"/>
    <n v="0"/>
    <s v=""/>
    <s v="Twitter Web App"/>
    <b v="0"/>
    <s v="1526533075987238912"/>
    <s v="Tweet"/>
    <n v="0"/>
    <n v="0"/>
    <m/>
    <m/>
    <m/>
    <m/>
    <m/>
    <m/>
    <m/>
    <m/>
    <n v="1"/>
    <s v="14"/>
    <s v="14"/>
    <n v="0"/>
    <n v="0"/>
    <n v="1"/>
    <n v="3.225806451612903"/>
    <n v="0"/>
    <n v="0"/>
    <n v="30"/>
    <n v="96.7741935483871"/>
    <n v="31"/>
  </r>
  <r>
    <s v="nashthomas"/>
    <s v="nashthomas"/>
    <m/>
    <m/>
    <m/>
    <m/>
    <m/>
    <m/>
    <m/>
    <m/>
    <s v="No"/>
    <n v="115"/>
    <m/>
    <m/>
    <s v="Tweet"/>
    <x v="96"/>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136501773735157762/mIzrKmoN_normal.jpg"/>
    <d v="2022-05-16T00:34:23.000"/>
    <d v="2022-05-16T00:00:00.000"/>
    <s v="00:34:23"/>
    <s v="https://twitter.com/nashthomas/status/1525998057963200512"/>
    <m/>
    <m/>
    <s v="1525998057963200512"/>
    <m/>
    <b v="0"/>
    <n v="65"/>
    <s v=""/>
    <b v="0"/>
    <s v="en"/>
    <m/>
    <s v=""/>
    <b v="0"/>
    <n v="11"/>
    <s v=""/>
    <s v="Twitter for iPhone"/>
    <b v="0"/>
    <s v="1525998057963200512"/>
    <s v="Tweet"/>
    <n v="0"/>
    <n v="0"/>
    <m/>
    <m/>
    <m/>
    <m/>
    <m/>
    <m/>
    <m/>
    <m/>
    <n v="2"/>
    <s v="1"/>
    <s v="1"/>
    <n v="1"/>
    <n v="2.272727272727273"/>
    <n v="0"/>
    <n v="0"/>
    <n v="0"/>
    <n v="0"/>
    <n v="43"/>
    <n v="97.72727272727273"/>
    <n v="44"/>
  </r>
  <r>
    <s v="nashthomas"/>
    <s v="nashthomas"/>
    <m/>
    <m/>
    <m/>
    <m/>
    <m/>
    <m/>
    <m/>
    <m/>
    <s v="No"/>
    <n v="116"/>
    <m/>
    <m/>
    <s v="Tweet"/>
    <x v="97"/>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136501773735157762/mIzrKmoN_normal.jpg"/>
    <d v="2022-05-16T01:36:00.000"/>
    <d v="2022-05-16T00:00:00.000"/>
    <s v="01:36:00"/>
    <s v="https://twitter.com/nashthomas/status/1526013565223567360"/>
    <m/>
    <m/>
    <s v="1526013565223567360"/>
    <m/>
    <b v="0"/>
    <n v="93"/>
    <s v=""/>
    <b v="0"/>
    <s v="en"/>
    <m/>
    <s v=""/>
    <b v="0"/>
    <n v="13"/>
    <s v=""/>
    <s v="Twitter for iPhone"/>
    <b v="0"/>
    <s v="1526013565223567360"/>
    <s v="Tweet"/>
    <n v="0"/>
    <n v="0"/>
    <m/>
    <m/>
    <m/>
    <m/>
    <m/>
    <m/>
    <m/>
    <m/>
    <n v="2"/>
    <s v="1"/>
    <s v="1"/>
    <n v="2"/>
    <n v="4"/>
    <n v="0"/>
    <n v="0"/>
    <n v="0"/>
    <n v="0"/>
    <n v="48"/>
    <n v="96"/>
    <n v="50"/>
  </r>
  <r>
    <s v="gaymaxine"/>
    <s v="nashthomas"/>
    <m/>
    <m/>
    <m/>
    <m/>
    <m/>
    <m/>
    <m/>
    <m/>
    <s v="No"/>
    <n v="117"/>
    <m/>
    <m/>
    <s v="Retweet"/>
    <x v="98"/>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754486118704291840/wlhfZrzq_normal.jpg"/>
    <d v="2022-05-17T18:59:34.000"/>
    <d v="2022-05-17T00:00:00.000"/>
    <s v="18:59:34"/>
    <s v="https://twitter.com/gaymaxine/status/1526638573801607169"/>
    <m/>
    <m/>
    <s v="1526638573801607169"/>
    <m/>
    <b v="0"/>
    <n v="0"/>
    <s v=""/>
    <b v="0"/>
    <s v="en"/>
    <m/>
    <s v=""/>
    <b v="0"/>
    <n v="13"/>
    <s v="1526013565223567360"/>
    <s v="Twitter for Android"/>
    <b v="0"/>
    <s v="1526013565223567360"/>
    <s v="Tweet"/>
    <n v="0"/>
    <n v="0"/>
    <m/>
    <m/>
    <m/>
    <m/>
    <m/>
    <m/>
    <m/>
    <m/>
    <n v="1"/>
    <s v="1"/>
    <s v="1"/>
    <n v="2"/>
    <n v="4"/>
    <n v="0"/>
    <n v="0"/>
    <n v="0"/>
    <n v="0"/>
    <n v="48"/>
    <n v="96"/>
    <n v="50"/>
  </r>
  <r>
    <s v="businessdesk_nz"/>
    <s v="businessdesk_nz"/>
    <m/>
    <m/>
    <m/>
    <m/>
    <m/>
    <m/>
    <m/>
    <m/>
    <s v="No"/>
    <n v="118"/>
    <m/>
    <m/>
    <s v="Tweet"/>
    <x v="99"/>
    <s v="The government is considering how a carbon border tax system might work if it were applied to concrete imports. This week’s Emissions Reduction Plan (ERP) outlines work on how the Emission Trading Scheme (ETS) could be fine-tuned to reduce emissions. https://t.co/tuWz759rs1"/>
    <s v="https://businessdesk.co.nz/article/climate-change/concrete-govt-eyes-carbon-border-tax"/>
    <s v="co.nz"/>
    <m/>
    <m/>
    <s v="https://pbs.twimg.com/profile_images/1229581468113854464/YdbOAsfr_normal.jpg"/>
    <d v="2022-05-17T21:34:56.000"/>
    <d v="2022-05-17T00:00:00.000"/>
    <s v="21:34:56"/>
    <s v="https://twitter.com/businessdesk_nz/status/1526677673736798208"/>
    <m/>
    <m/>
    <s v="1526677673736798208"/>
    <m/>
    <b v="0"/>
    <n v="0"/>
    <s v=""/>
    <b v="0"/>
    <s v="en"/>
    <m/>
    <s v=""/>
    <b v="0"/>
    <n v="0"/>
    <s v=""/>
    <s v="Twitter Web App"/>
    <b v="0"/>
    <s v="1526677673736798208"/>
    <s v="Tweet"/>
    <n v="0"/>
    <n v="0"/>
    <m/>
    <m/>
    <m/>
    <m/>
    <m/>
    <m/>
    <m/>
    <m/>
    <n v="1"/>
    <s v="2"/>
    <s v="2"/>
    <n v="3"/>
    <n v="7.142857142857143"/>
    <n v="0"/>
    <n v="0"/>
    <n v="0"/>
    <n v="0"/>
    <n v="39"/>
    <n v="92.85714285714286"/>
    <n v="42"/>
  </r>
  <r>
    <s v="genevivelabont1"/>
    <s v="tvanouvelles"/>
    <m/>
    <m/>
    <m/>
    <m/>
    <m/>
    <m/>
    <m/>
    <m/>
    <s v="No"/>
    <n v="119"/>
    <m/>
    <m/>
    <s v="Mentions"/>
    <x v="100"/>
    <s v="@Rebelwild41 @tvanouvelles Le non dit dans leur plan de réduction du carbone est que de détruire une partie ( la plus pauvre biensure) de la population avec l'inflation...tsé moins de monde=moins d'émission de carbone"/>
    <m/>
    <m/>
    <m/>
    <m/>
    <s v="https://pbs.twimg.com/profile_images/1520415532486430722/5jPSCaHo_normal.jpg"/>
    <d v="2022-05-17T22:14:22.000"/>
    <d v="2022-05-17T00:00:00.000"/>
    <s v="22:14:22"/>
    <s v="https://twitter.com/genevivelabont1/status/1526687596675571712"/>
    <m/>
    <m/>
    <s v="1526687596675571712"/>
    <s v="1526507511385313280"/>
    <b v="0"/>
    <n v="0"/>
    <s v="1496291469782626304"/>
    <b v="0"/>
    <s v="fr"/>
    <m/>
    <s v=""/>
    <b v="0"/>
    <n v="0"/>
    <s v=""/>
    <s v="Twitter for Android"/>
    <b v="0"/>
    <s v="1526507511385313280"/>
    <s v="Tweet"/>
    <n v="0"/>
    <n v="0"/>
    <m/>
    <m/>
    <m/>
    <m/>
    <m/>
    <m/>
    <m/>
    <m/>
    <n v="1"/>
    <s v="10"/>
    <s v="10"/>
    <m/>
    <m/>
    <m/>
    <m/>
    <m/>
    <m/>
    <m/>
    <m/>
    <m/>
  </r>
  <r>
    <s v="emilypont"/>
    <s v="emilypont"/>
    <m/>
    <m/>
    <m/>
    <m/>
    <m/>
    <m/>
    <m/>
    <m/>
    <s v="No"/>
    <n v="121"/>
    <m/>
    <m/>
    <s v="Tweet"/>
    <x v="101"/>
    <s v="A “Carbon neutral by 2030” framework is what pushed Flagstaff to pursue CDR. If citizens had instead demanded specific % of emission reduction, how would the plan, and the way the city spent its $$ resources differ?"/>
    <m/>
    <m/>
    <m/>
    <m/>
    <s v="https://pbs.twimg.com/profile_images/1491428224798117891/9rG7sAag_normal.jpg"/>
    <d v="2022-05-17T23:50:25.000"/>
    <d v="2022-05-17T00:00:00.000"/>
    <s v="23:50:25"/>
    <s v="https://twitter.com/emilypont/status/1526711769749540865"/>
    <m/>
    <m/>
    <s v="1526711769749540865"/>
    <s v="1526711767123886080"/>
    <b v="0"/>
    <n v="0"/>
    <s v="187560504"/>
    <b v="0"/>
    <s v="en"/>
    <m/>
    <s v=""/>
    <b v="0"/>
    <n v="0"/>
    <s v=""/>
    <s v="Twitter for iPhone"/>
    <b v="0"/>
    <s v="1526711767123886080"/>
    <s v="Tweet"/>
    <n v="0"/>
    <n v="0"/>
    <m/>
    <m/>
    <m/>
    <m/>
    <m/>
    <m/>
    <m/>
    <m/>
    <n v="1"/>
    <s v="2"/>
    <s v="2"/>
    <n v="0"/>
    <n v="0"/>
    <n v="0"/>
    <n v="0"/>
    <n v="0"/>
    <n v="0"/>
    <n v="35"/>
    <n v="100"/>
    <n v="35"/>
  </r>
  <r>
    <s v="auepochtimes"/>
    <s v="epochtimes"/>
    <m/>
    <m/>
    <m/>
    <m/>
    <m/>
    <m/>
    <m/>
    <m/>
    <s v="No"/>
    <n v="122"/>
    <m/>
    <m/>
    <s v="Mentions"/>
    <x v="102"/>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288654635125760000/Sd4jIIxW_normal.jpg"/>
    <d v="2022-05-18T02:35:07.000"/>
    <d v="2022-05-18T00:00:00.000"/>
    <s v="02:35:07"/>
    <s v="https://twitter.com/auepochtimes/status/1526753216859365377"/>
    <m/>
    <m/>
    <s v="1526753216859365377"/>
    <m/>
    <b v="0"/>
    <n v="1"/>
    <s v=""/>
    <b v="0"/>
    <s v="en"/>
    <m/>
    <s v=""/>
    <b v="0"/>
    <n v="2"/>
    <s v=""/>
    <s v="Crowdfire App"/>
    <b v="0"/>
    <s v="1526753216859365377"/>
    <s v="Tweet"/>
    <n v="0"/>
    <n v="0"/>
    <m/>
    <m/>
    <m/>
    <m/>
    <m/>
    <m/>
    <m/>
    <m/>
    <n v="1"/>
    <s v="9"/>
    <s v="9"/>
    <n v="0"/>
    <n v="0"/>
    <n v="1"/>
    <n v="2.7027027027027026"/>
    <n v="0"/>
    <n v="0"/>
    <n v="36"/>
    <n v="97.29729729729729"/>
    <n v="37"/>
  </r>
  <r>
    <s v="kjusticemotors"/>
    <s v="epochtimes"/>
    <m/>
    <m/>
    <m/>
    <m/>
    <m/>
    <m/>
    <m/>
    <m/>
    <s v="No"/>
    <n v="123"/>
    <m/>
    <m/>
    <s v="MentionsInRetweet"/>
    <x v="103"/>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094681472160673792/mqK_dabr_normal.jpg"/>
    <d v="2022-05-18T02:41:08.000"/>
    <d v="2022-05-18T00:00:00.000"/>
    <s v="02:41:08"/>
    <s v="https://twitter.com/kjusticemotors/status/1526754733293199362"/>
    <m/>
    <m/>
    <s v="1526754733293199362"/>
    <m/>
    <b v="0"/>
    <n v="0"/>
    <s v=""/>
    <b v="0"/>
    <s v="en"/>
    <m/>
    <s v=""/>
    <b v="0"/>
    <n v="2"/>
    <s v="1526753216859365377"/>
    <s v="Twitter for iPhone"/>
    <b v="0"/>
    <s v="1526753216859365377"/>
    <s v="Tweet"/>
    <n v="0"/>
    <n v="0"/>
    <m/>
    <m/>
    <m/>
    <m/>
    <m/>
    <m/>
    <m/>
    <m/>
    <n v="1"/>
    <s v="9"/>
    <s v="9"/>
    <m/>
    <m/>
    <m/>
    <m/>
    <m/>
    <m/>
    <m/>
    <m/>
    <m/>
  </r>
  <r>
    <s v="3rdworldnetwork"/>
    <s v="3rdworldnetwork"/>
    <m/>
    <m/>
    <m/>
    <m/>
    <m/>
    <m/>
    <m/>
    <m/>
    <s v="No"/>
    <n v="125"/>
    <m/>
    <m/>
    <s v="Tweet"/>
    <x v="104"/>
    <s v="The Soil Grab #Greenwashing by #Agribusiness. Carbon farming should not be national emission reduction plan, instead a vast #agroecology programme, land redistribution &amp;amp; re-localisation is needed to build carbon into soils &amp;amp; cut emissions in food system._x000a_➡️https://t.co/7Q68qnL8Mm https://t.co/GhhICcrMM9"/>
    <s v="https://twn.my/title2/susagri/2022/sa979.htm"/>
    <s v="twn.my"/>
    <s v="greenwashing agribusiness agroecology"/>
    <s v="https://pbs.twimg.com/media/FTAuHjMaQAAG43f.jpg"/>
    <s v="https://pbs.twimg.com/media/FTAuHjMaQAAG43f.jpg"/>
    <d v="2022-05-18T03:45:47.000"/>
    <d v="2022-05-18T00:00:00.000"/>
    <s v="03:45:47"/>
    <s v="https://twitter.com/3rdworldnetwork/status/1526771002604425216"/>
    <m/>
    <m/>
    <s v="1526771002604425216"/>
    <m/>
    <b v="0"/>
    <n v="2"/>
    <s v=""/>
    <b v="0"/>
    <s v="en"/>
    <m/>
    <s v=""/>
    <b v="0"/>
    <n v="0"/>
    <s v=""/>
    <s v="Twitter Web App"/>
    <b v="0"/>
    <s v="1526771002604425216"/>
    <s v="Tweet"/>
    <n v="0"/>
    <n v="0"/>
    <m/>
    <m/>
    <m/>
    <m/>
    <m/>
    <m/>
    <m/>
    <m/>
    <n v="1"/>
    <s v="2"/>
    <s v="2"/>
    <n v="0"/>
    <n v="0"/>
    <n v="0"/>
    <n v="0"/>
    <n v="0"/>
    <n v="0"/>
    <n v="42"/>
    <n v="100"/>
    <n v="42"/>
  </r>
  <r>
    <s v="vheeringa"/>
    <s v="vheeringa"/>
    <m/>
    <m/>
    <m/>
    <m/>
    <m/>
    <m/>
    <m/>
    <m/>
    <s v="No"/>
    <n v="126"/>
    <m/>
    <m/>
    <s v="Tweet"/>
    <x v="105"/>
    <s v="Emission reduction plan: transport https://t.co/nwKAkeHPbu"/>
    <m/>
    <m/>
    <m/>
    <s v="https://pbs.twimg.com/media/FTEhbaaakAEsJAo.jpg"/>
    <s v="https://pbs.twimg.com/media/FTEhbaaakAEsJAo.jpg"/>
    <d v="2022-05-18T21:28:47.000"/>
    <d v="2022-05-18T00:00:00.000"/>
    <s v="21:28:47"/>
    <s v="https://twitter.com/vheeringa/status/1527038515871363072"/>
    <m/>
    <m/>
    <s v="1527038515871363072"/>
    <m/>
    <b v="0"/>
    <n v="4"/>
    <s v=""/>
    <b v="0"/>
    <s v="en"/>
    <m/>
    <s v=""/>
    <b v="0"/>
    <n v="0"/>
    <s v=""/>
    <s v="Twitter for iPhone"/>
    <b v="0"/>
    <s v="1527038515871363072"/>
    <s v="Tweet"/>
    <n v="0"/>
    <n v="0"/>
    <m/>
    <m/>
    <m/>
    <m/>
    <m/>
    <m/>
    <m/>
    <m/>
    <n v="1"/>
    <s v="2"/>
    <s v="2"/>
    <n v="0"/>
    <n v="0"/>
    <n v="0"/>
    <n v="0"/>
    <n v="0"/>
    <n v="0"/>
    <n v="4"/>
    <n v="100"/>
    <n v="4"/>
  </r>
  <r>
    <s v="edairynews"/>
    <s v="edairynews"/>
    <m/>
    <m/>
    <m/>
    <m/>
    <m/>
    <m/>
    <m/>
    <m/>
    <s v="No"/>
    <n v="127"/>
    <m/>
    <m/>
    <s v="Tweet"/>
    <x v="106"/>
    <s v="Dairy NZ CEO and climate expert on what's needed and expected from Emission Reduction Plan - https://t.co/2Kcituen9w https://t.co/Smw3a40Gq8"/>
    <s v="https://edairynews.com/en/?p=106818"/>
    <s v="edairynews.com"/>
    <m/>
    <s v="https://pbs.twimg.com/media/FTE4lE4XEAEbwR7.jpg"/>
    <s v="https://pbs.twimg.com/media/FTE4lE4XEAEbwR7.jpg"/>
    <d v="2022-05-18T23:09:54.000"/>
    <d v="2022-05-18T00:00:00.000"/>
    <s v="23:09:54"/>
    <s v="https://twitter.com/edairynews/status/1527063959697760256"/>
    <m/>
    <m/>
    <s v="1527063959697760256"/>
    <m/>
    <b v="0"/>
    <n v="0"/>
    <s v=""/>
    <b v="0"/>
    <s v="en"/>
    <m/>
    <s v=""/>
    <b v="0"/>
    <n v="0"/>
    <s v=""/>
    <s v="The Global Dairy"/>
    <b v="0"/>
    <s v="1527063959697760256"/>
    <s v="Tweet"/>
    <n v="0"/>
    <n v="0"/>
    <m/>
    <m/>
    <m/>
    <m/>
    <m/>
    <m/>
    <m/>
    <m/>
    <n v="1"/>
    <s v="2"/>
    <s v="2"/>
    <n v="0"/>
    <n v="0"/>
    <n v="0"/>
    <n v="0"/>
    <n v="0"/>
    <n v="0"/>
    <n v="15"/>
    <n v="100"/>
    <n v="15"/>
  </r>
  <r>
    <s v="insights_nz"/>
    <s v="insights_nz"/>
    <m/>
    <m/>
    <m/>
    <m/>
    <m/>
    <m/>
    <m/>
    <m/>
    <s v="No"/>
    <n v="128"/>
    <m/>
    <m/>
    <s v="Tweet"/>
    <x v="107"/>
    <s v="The government's Emissions Reduction Plan aims to make 30% of light vehicles zero emission by 2035 and may also lead to high-emission vehicles facing penalties._x000a_Don't wait, start transitioning your business vehicles to electric now: https://t.co/R1sPQfmUyE_x000a_#ev #electricvehicles"/>
    <s v="https://drivinginsights.co.nz/fleet-management/planning-your-electric-fleet/"/>
    <s v="co.nz"/>
    <s v="ev electricvehicles"/>
    <m/>
    <s v="https://pbs.twimg.com/profile_images/1505759543875469319/53u_4sa6_normal.png"/>
    <d v="2022-05-19T00:54:11.000"/>
    <d v="2022-05-19T00:00:00.000"/>
    <s v="00:54:11"/>
    <s v="https://twitter.com/insights_nz/status/1527090204779368448"/>
    <m/>
    <m/>
    <s v="1527090204779368448"/>
    <m/>
    <b v="0"/>
    <n v="1"/>
    <s v=""/>
    <b v="0"/>
    <s v="en"/>
    <m/>
    <s v=""/>
    <b v="0"/>
    <n v="0"/>
    <s v=""/>
    <s v="Twitter Web App"/>
    <b v="0"/>
    <s v="1527090204779368448"/>
    <s v="Tweet"/>
    <n v="0"/>
    <n v="0"/>
    <m/>
    <m/>
    <m/>
    <m/>
    <m/>
    <m/>
    <m/>
    <m/>
    <n v="1"/>
    <s v="2"/>
    <s v="2"/>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2"/>
    </i>
    <i r="2">
      <x v="39"/>
    </i>
    <i r="1">
      <x v="5"/>
    </i>
    <i r="2">
      <x v="131"/>
    </i>
    <i r="2">
      <x v="132"/>
    </i>
    <i r="2">
      <x v="133"/>
    </i>
    <i r="2">
      <x v="134"/>
    </i>
    <i r="2">
      <x v="135"/>
    </i>
    <i r="2">
      <x v="136"/>
    </i>
    <i r="2">
      <x v="137"/>
    </i>
    <i r="2">
      <x v="138"/>
    </i>
    <i r="2">
      <x v="139"/>
    </i>
    <i r="2">
      <x v="14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28" totalsRowShown="0" headerRowDxfId="503" dataDxfId="463">
  <autoFilter ref="A2:BN128"/>
  <tableColumns count="66">
    <tableColumn id="1" name="Vertex 1" dataDxfId="448"/>
    <tableColumn id="2" name="Vertex 2" dataDxfId="446"/>
    <tableColumn id="3" name="Color" dataDxfId="447"/>
    <tableColumn id="4" name="Width" dataDxfId="472"/>
    <tableColumn id="11" name="Style" dataDxfId="471"/>
    <tableColumn id="5" name="Opacity" dataDxfId="470"/>
    <tableColumn id="6" name="Visibility" dataDxfId="469"/>
    <tableColumn id="10" name="Label" dataDxfId="468"/>
    <tableColumn id="12" name="Label Text Color" dataDxfId="467"/>
    <tableColumn id="13" name="Label Font Size" dataDxfId="466"/>
    <tableColumn id="14" name="Reciprocated?" dataDxfId="351"/>
    <tableColumn id="7" name="ID" dataDxfId="465"/>
    <tableColumn id="9" name="Dynamic Filter" dataDxfId="464"/>
    <tableColumn id="8" name="Add Your Own Columns Here" dataDxfId="445"/>
    <tableColumn id="15" name="Relationship" dataDxfId="444"/>
    <tableColumn id="16" name="Relationship Date (UTC)" dataDxfId="443"/>
    <tableColumn id="17" name="Tweet" dataDxfId="442"/>
    <tableColumn id="18" name="URLs in Tweet" dataDxfId="441"/>
    <tableColumn id="19" name="Domains in Tweet" dataDxfId="440"/>
    <tableColumn id="20" name="Hashtags in Tweet" dataDxfId="439"/>
    <tableColumn id="21" name="Media in Tweet" dataDxfId="438"/>
    <tableColumn id="22" name="Tweet Image File" dataDxfId="437"/>
    <tableColumn id="23" name="Tweet Date (UTC)" dataDxfId="436"/>
    <tableColumn id="24" name="Date" dataDxfId="435"/>
    <tableColumn id="25" name="Time" dataDxfId="434"/>
    <tableColumn id="26" name="Twitter Page for Tweet" dataDxfId="433"/>
    <tableColumn id="27" name="Latitude" dataDxfId="432"/>
    <tableColumn id="28" name="Longitude" dataDxfId="431"/>
    <tableColumn id="29" name="Imported ID" dataDxfId="430"/>
    <tableColumn id="30" name="In-Reply-To Tweet ID" dataDxfId="429"/>
    <tableColumn id="31" name="Favorited" dataDxfId="428"/>
    <tableColumn id="32" name="Favorite Count" dataDxfId="427"/>
    <tableColumn id="33" name="In-Reply-To User ID" dataDxfId="426"/>
    <tableColumn id="34" name="Is Quote Status" dataDxfId="425"/>
    <tableColumn id="35" name="Language" dataDxfId="424"/>
    <tableColumn id="36" name="Possibly Sensitive" dataDxfId="423"/>
    <tableColumn id="37" name="Quoted Status ID" dataDxfId="422"/>
    <tableColumn id="38" name="Retweeted" dataDxfId="421"/>
    <tableColumn id="39" name="Retweet Count" dataDxfId="420"/>
    <tableColumn id="40" name="Retweet ID" dataDxfId="419"/>
    <tableColumn id="41" name="Source" dataDxfId="418"/>
    <tableColumn id="42" name="Truncated" dataDxfId="417"/>
    <tableColumn id="43" name="Unified Twitter ID" dataDxfId="416"/>
    <tableColumn id="44" name="Imported Tweet Type" dataDxfId="415"/>
    <tableColumn id="45" name="Added By Extended Analysis" dataDxfId="414"/>
    <tableColumn id="46" name="Corrected By Extended Analysis" dataDxfId="413"/>
    <tableColumn id="47" name="Place Bounding Box" dataDxfId="412"/>
    <tableColumn id="48" name="Place Country" dataDxfId="411"/>
    <tableColumn id="49" name="Place Country Code" dataDxfId="410"/>
    <tableColumn id="50" name="Place Full Name" dataDxfId="409"/>
    <tableColumn id="51" name="Place ID" dataDxfId="408"/>
    <tableColumn id="52" name="Place Name" dataDxfId="407"/>
    <tableColumn id="53" name="Place Type" dataDxfId="406"/>
    <tableColumn id="54" name="Place URL" dataDxfId="405"/>
    <tableColumn id="55" name="Edge Weight" dataDxfId="367"/>
    <tableColumn id="56" name="Vertex 1 Group" dataDxfId="366">
      <calculatedColumnFormula>REPLACE(INDEX(GroupVertices[Group], MATCH(Edges[[#This Row],[Vertex 1]],GroupVertices[Vertex],0)),1,1,"")</calculatedColumnFormula>
    </tableColumn>
    <tableColumn id="57" name="Vertex 2 Group" dataDxfId="327">
      <calculatedColumnFormula>REPLACE(INDEX(GroupVertices[Group], MATCH(Edges[[#This Row],[Vertex 2]],GroupVertices[Vertex],0)),1,1,"")</calculatedColumnFormula>
    </tableColumn>
    <tableColumn id="58" name="Sentiment List #1: List1 Word Count" dataDxfId="326"/>
    <tableColumn id="59" name="Sentiment List #1: List1 Word Percentage (%)" dataDxfId="325"/>
    <tableColumn id="60" name="Sentiment List #2: List2 Word Count" dataDxfId="324"/>
    <tableColumn id="61" name="Sentiment List #2: List2 Word Percentage (%)" dataDxfId="323"/>
    <tableColumn id="62" name="Sentiment List #3: List3 Word Count" dataDxfId="322"/>
    <tableColumn id="63" name="Sentiment List #3: List3 Word Percentage (%)" dataDxfId="321"/>
    <tableColumn id="64" name="Non-categorized Word Count" dataDxfId="320"/>
    <tableColumn id="65" name="Non-categorized Word Percentage (%)" dataDxfId="319"/>
    <tableColumn id="66" name="Edge Content Word Count" dataDxfId="3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Words" displayName="Words" ref="A1:G601" totalsRowShown="0" headerRowDxfId="350" dataDxfId="349">
  <autoFilter ref="A1:G601"/>
  <tableColumns count="7">
    <tableColumn id="1" name="Word" dataDxfId="348"/>
    <tableColumn id="2" name="Count" dataDxfId="347"/>
    <tableColumn id="3" name="Salience" dataDxfId="346"/>
    <tableColumn id="4" name="Group" dataDxfId="345"/>
    <tableColumn id="5" name="Word on Sentiment List #1: List1" dataDxfId="344"/>
    <tableColumn id="6" name="Word on Sentiment List #2: List2" dataDxfId="343"/>
    <tableColumn id="7" name="Word on Sentiment List #3: List3" dataDxfId="342"/>
  </tableColumns>
  <tableStyleInfo name="NodeXL Table" showFirstColumn="0" showLastColumn="0" showRowStripes="1" showColumnStripes="0"/>
</table>
</file>

<file path=xl/tables/table12.xml><?xml version="1.0" encoding="utf-8"?>
<table xmlns="http://schemas.openxmlformats.org/spreadsheetml/2006/main" id="26" name="WordPairs" displayName="WordPairs" ref="A1:L576" totalsRowShown="0" headerRowDxfId="341" dataDxfId="340">
  <autoFilter ref="A1:L576"/>
  <tableColumns count="12">
    <tableColumn id="1" name="Word 1" dataDxfId="339"/>
    <tableColumn id="2" name="Word 2" dataDxfId="338"/>
    <tableColumn id="3" name="Count" dataDxfId="337"/>
    <tableColumn id="4" name="Salience" dataDxfId="336"/>
    <tableColumn id="5" name="Mutual Information" dataDxfId="335"/>
    <tableColumn id="6" name="Group" dataDxfId="334"/>
    <tableColumn id="7" name="Word1 on Sentiment List #1: List1" dataDxfId="333"/>
    <tableColumn id="8" name="Word1 on Sentiment List #2: List2" dataDxfId="332"/>
    <tableColumn id="9" name="Word1 on Sentiment List #3: List3" dataDxfId="331"/>
    <tableColumn id="10" name="Word2 on Sentiment List #1: List1" dataDxfId="330"/>
    <tableColumn id="11" name="Word2 on Sentiment List #2: List2" dataDxfId="329"/>
    <tableColumn id="12" name="Word2 on Sentiment List #3: List3" dataDxfId="32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476" dataDxfId="475">
  <autoFilter ref="A2:C2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74" dataDxfId="473">
  <autoFilter ref="A1:B7"/>
  <tableColumns count="2">
    <tableColumn id="1" name="Key" dataDxfId="281"/>
    <tableColumn id="2" name="Value" dataDxfId="280"/>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6.xml><?xml version="1.0" encoding="utf-8"?>
<table xmlns="http://schemas.openxmlformats.org/spreadsheetml/2006/main" id="28"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7.xml><?xml version="1.0" encoding="utf-8"?>
<table xmlns="http://schemas.openxmlformats.org/spreadsheetml/2006/main" id="29"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18.xml><?xml version="1.0" encoding="utf-8"?>
<table xmlns="http://schemas.openxmlformats.org/spreadsheetml/2006/main" id="30"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19.xml><?xml version="1.0" encoding="utf-8"?>
<table xmlns="http://schemas.openxmlformats.org/spreadsheetml/2006/main" id="31"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502" dataDxfId="449">
  <autoFilter ref="A2:BT120"/>
  <tableColumns count="72">
    <tableColumn id="1" name="Vertex" dataDxfId="462"/>
    <tableColumn id="2" name="Color" dataDxfId="461"/>
    <tableColumn id="5" name="Shape" dataDxfId="460"/>
    <tableColumn id="6" name="Size" dataDxfId="459"/>
    <tableColumn id="4" name="Opacity" dataDxfId="384"/>
    <tableColumn id="7" name="Image File" dataDxfId="382"/>
    <tableColumn id="3" name="Visibility" dataDxfId="383"/>
    <tableColumn id="10" name="Label" dataDxfId="458"/>
    <tableColumn id="16" name="Label Fill Color" dataDxfId="457"/>
    <tableColumn id="9" name="Label Position" dataDxfId="378"/>
    <tableColumn id="8" name="Tooltip" dataDxfId="376"/>
    <tableColumn id="18" name="Layout Order" dataDxfId="377"/>
    <tableColumn id="13" name="X" dataDxfId="456"/>
    <tableColumn id="14" name="Y" dataDxfId="455"/>
    <tableColumn id="12" name="Locked?" dataDxfId="454"/>
    <tableColumn id="19" name="Polar R" dataDxfId="453"/>
    <tableColumn id="20" name="Polar Angle" dataDxfId="452"/>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1"/>
    <tableColumn id="28" name="Dynamic Filter" dataDxfId="450"/>
    <tableColumn id="17" name="Add Your Own Columns Here" dataDxfId="404"/>
    <tableColumn id="30" name="Name" dataDxfId="403"/>
    <tableColumn id="31" name="User ID" dataDxfId="402"/>
    <tableColumn id="32" name="Followed" dataDxfId="401"/>
    <tableColumn id="33" name="Followers" dataDxfId="400"/>
    <tableColumn id="34" name="Tweets" dataDxfId="399"/>
    <tableColumn id="35" name="Favorites" dataDxfId="398"/>
    <tableColumn id="36" name="Time Zone UTC Offset (Seconds)" dataDxfId="397"/>
    <tableColumn id="37" name="Description" dataDxfId="396"/>
    <tableColumn id="38" name="Location" dataDxfId="395"/>
    <tableColumn id="39" name="Web" dataDxfId="394"/>
    <tableColumn id="40" name="Time Zone" dataDxfId="393"/>
    <tableColumn id="41" name="Joined Twitter Date (UTC)" dataDxfId="392"/>
    <tableColumn id="42" name="Profile Banner Url" dataDxfId="391"/>
    <tableColumn id="43" name="Default Profile" dataDxfId="390"/>
    <tableColumn id="44" name="Default Profile Image" dataDxfId="389"/>
    <tableColumn id="45" name="Geo Enabled" dataDxfId="388"/>
    <tableColumn id="46" name="Language" dataDxfId="387"/>
    <tableColumn id="47" name="Listed Count" dataDxfId="386"/>
    <tableColumn id="48" name="Profile Background Image Url" dataDxfId="385"/>
    <tableColumn id="49" name="Verified" dataDxfId="381"/>
    <tableColumn id="50" name="Custom Menu Item Text" dataDxfId="380"/>
    <tableColumn id="51" name="Custom Menu Item Action" dataDxfId="379"/>
    <tableColumn id="52" name="Tweeted Search Term?" dataDxfId="368"/>
    <tableColumn id="53" name="Vertex Group" dataDxfId="317">
      <calculatedColumnFormula>REPLACE(INDEX(GroupVertices[Group], MATCH(Vertices[[#This Row],[Vertex]],GroupVertices[Vertex],0)),1,1,"")</calculatedColumnFormula>
    </tableColumn>
    <tableColumn id="54" name="Sentiment List #1: List1 Word Count" dataDxfId="316"/>
    <tableColumn id="55" name="Sentiment List #1: List1 Word Percentage (%)" dataDxfId="315"/>
    <tableColumn id="56" name="Sentiment List #2: List2 Word Count" dataDxfId="314"/>
    <tableColumn id="57" name="Sentiment List #2: List2 Word Percentage (%)" dataDxfId="313"/>
    <tableColumn id="58" name="Sentiment List #3: List3 Word Count" dataDxfId="312"/>
    <tableColumn id="59" name="Sentiment List #3: List3 Word Percentage (%)" dataDxfId="311"/>
    <tableColumn id="60" name="Non-categorized Word Count" dataDxfId="310"/>
    <tableColumn id="61" name="Non-categorized Word Percentage (%)" dataDxfId="309"/>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1.xml><?xml version="1.0" encoding="utf-8"?>
<table xmlns="http://schemas.openxmlformats.org/spreadsheetml/2006/main" id="33" name="NetworkTopItems_6" displayName="NetworkTopItems_6" ref="A66:V68" totalsRowShown="0" headerRowDxfId="154" dataDxfId="153">
  <autoFilter ref="A66:V68"/>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2.xml><?xml version="1.0" encoding="utf-8"?>
<table xmlns="http://schemas.openxmlformats.org/spreadsheetml/2006/main" id="34" name="NetworkTopItems_7" displayName="NetworkTopItems_7" ref="A71:V81" totalsRowShown="0" headerRowDxfId="151" dataDxfId="150">
  <autoFilter ref="A71:V81"/>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3.xml><?xml version="1.0" encoding="utf-8"?>
<table xmlns="http://schemas.openxmlformats.org/spreadsheetml/2006/main" id="35" name="NetworkTopItems_8" displayName="NetworkTopItems_8" ref="A84:V94" totalsRowShown="0" headerRowDxfId="104" dataDxfId="103">
  <autoFilter ref="A84:V94"/>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4.xml><?xml version="1.0" encoding="utf-8"?>
<table xmlns="http://schemas.openxmlformats.org/spreadsheetml/2006/main" id="36" name="Edges37" displayName="Edges37" ref="A2:BN110" totalsRowShown="0" headerRowDxfId="67" dataDxfId="66">
  <autoFilter ref="A2:BN11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5" totalsRowShown="0" headerRowDxfId="501">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500"/>
    <tableColumn id="20" name="Collapsed X"/>
    <tableColumn id="21" name="Collapsed Y"/>
    <tableColumn id="6" name="ID" dataDxfId="499"/>
    <tableColumn id="19" name="Collapsed Properties" dataDxfId="365"/>
    <tableColumn id="5" name="Vertices" dataDxfId="364"/>
    <tableColumn id="7" name="Unique Edges" dataDxfId="363"/>
    <tableColumn id="8" name="Edges With Duplicates" dataDxfId="362"/>
    <tableColumn id="9" name="Total Edges" dataDxfId="361"/>
    <tableColumn id="10" name="Self-Loops" dataDxfId="360"/>
    <tableColumn id="24" name="Reciprocated Vertex Pair Ratio" dataDxfId="359"/>
    <tableColumn id="25" name="Reciprocated Edge Ratio" dataDxfId="358"/>
    <tableColumn id="11" name="Connected Components" dataDxfId="357"/>
    <tableColumn id="12" name="Single-Vertex Connected Components" dataDxfId="356"/>
    <tableColumn id="13" name="Maximum Vertices in a Connected Component" dataDxfId="355"/>
    <tableColumn id="14" name="Maximum Edges in a Connected Component" dataDxfId="354"/>
    <tableColumn id="15" name="Maximum Geodesic Distance (Diameter)" dataDxfId="353"/>
    <tableColumn id="16" name="Average Geodesic Distance" dataDxfId="352"/>
    <tableColumn id="17" name="Graph Density" dataDxfId="308"/>
    <tableColumn id="23" name="Sentiment List #1: List1 Word Count" dataDxfId="307"/>
    <tableColumn id="26" name="Sentiment List #1: List1 Word Percentage (%)" dataDxfId="306"/>
    <tableColumn id="27" name="Sentiment List #2: List2 Word Count" dataDxfId="305"/>
    <tableColumn id="28" name="Sentiment List #2: List2 Word Percentage (%)" dataDxfId="304"/>
    <tableColumn id="29" name="Sentiment List #3: List3 Word Count" dataDxfId="303"/>
    <tableColumn id="30" name="Sentiment List #3: List3 Word Percentage (%)" dataDxfId="302"/>
    <tableColumn id="31" name="Non-categorized Word Count" dataDxfId="301"/>
    <tableColumn id="32" name="Non-categorized Word Percentage (%)" dataDxfId="300"/>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498" dataDxfId="497">
  <autoFilter ref="A1:C11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6"/>
    <tableColumn id="2" name="Degree Frequency" dataDxfId="495">
      <calculatedColumnFormula>COUNTIF(Vertices[Degree], "&gt;= " &amp; D2) - COUNTIF(Vertices[Degree], "&gt;=" &amp; D3)</calculatedColumnFormula>
    </tableColumn>
    <tableColumn id="3" name="In-Degree Bin" dataDxfId="494"/>
    <tableColumn id="4" name="In-Degree Frequency" dataDxfId="493">
      <calculatedColumnFormula>COUNTIF(Vertices[In-Degree], "&gt;= " &amp; F2) - COUNTIF(Vertices[In-Degree], "&gt;=" &amp; F3)</calculatedColumnFormula>
    </tableColumn>
    <tableColumn id="5" name="Out-Degree Bin" dataDxfId="492"/>
    <tableColumn id="6" name="Out-Degree Frequency" dataDxfId="491">
      <calculatedColumnFormula>COUNTIF(Vertices[Out-Degree], "&gt;= " &amp; H2) - COUNTIF(Vertices[Out-Degree], "&gt;=" &amp; H3)</calculatedColumnFormula>
    </tableColumn>
    <tableColumn id="7" name="Betweenness Centrality Bin" dataDxfId="490"/>
    <tableColumn id="8" name="Betweenness Centrality Frequency" dataDxfId="489">
      <calculatedColumnFormula>COUNTIF(Vertices[Betweenness Centrality], "&gt;= " &amp; J2) - COUNTIF(Vertices[Betweenness Centrality], "&gt;=" &amp; J3)</calculatedColumnFormula>
    </tableColumn>
    <tableColumn id="9" name="Closeness Centrality Bin" dataDxfId="488"/>
    <tableColumn id="10" name="Closeness Centrality Frequency" dataDxfId="487">
      <calculatedColumnFormula>COUNTIF(Vertices[Closeness Centrality], "&gt;= " &amp; L2) - COUNTIF(Vertices[Closeness Centrality], "&gt;=" &amp; L3)</calculatedColumnFormula>
    </tableColumn>
    <tableColumn id="11" name="Eigenvector Centrality Bin" dataDxfId="486"/>
    <tableColumn id="12" name="Eigenvector Centrality Frequency" dataDxfId="485">
      <calculatedColumnFormula>COUNTIF(Vertices[Eigenvector Centrality], "&gt;= " &amp; N2) - COUNTIF(Vertices[Eigenvector Centrality], "&gt;=" &amp; N3)</calculatedColumnFormula>
    </tableColumn>
    <tableColumn id="18" name="PageRank Bin" dataDxfId="484"/>
    <tableColumn id="17" name="PageRank Frequency" dataDxfId="483">
      <calculatedColumnFormula>COUNTIF(Vertices[Eigenvector Centrality], "&gt;= " &amp; P2) - COUNTIF(Vertices[Eigenvector Centrality], "&gt;=" &amp; P3)</calculatedColumnFormula>
    </tableColumn>
    <tableColumn id="13" name="Clustering Coefficient Bin" dataDxfId="482"/>
    <tableColumn id="14" name="Clustering Coefficient Frequency" dataDxfId="481">
      <calculatedColumnFormula>COUNTIF(Vertices[Clustering Coefficient], "&gt;= " &amp; R2) - COUNTIF(Vertices[Clustering Coefficient], "&gt;=" &amp; R3)</calculatedColumnFormula>
    </tableColumn>
    <tableColumn id="15" name="Dynamic Filter Bin" dataDxfId="480"/>
    <tableColumn id="16" name="Dynamic Filter Frequency" dataDxfId="4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78">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ewshub.co.nz/home/politics/2022/05/emissions-reduction-plan-transport-takes-leading-role-with-scrap-and-replace-low-emission-vehicle-leasing-trials-announced.html" TargetMode="External" /><Relationship Id="rId2" Type="http://schemas.openxmlformats.org/officeDocument/2006/relationships/hyperlink" Target="https://www.rnz.co.nz/news/political/467287/national-leader-christopher-luxon-says-no-to-corporate-welfare-for-climate-emission-reductions" TargetMode="External" /><Relationship Id="rId3" Type="http://schemas.openxmlformats.org/officeDocument/2006/relationships/hyperlink" Target="https://www.theepochtimes.com/new-zealand-government-to-use-emission-trading-scheme-to-fund-ev-rollout_4471459.html?utm_source=ref_share&amp;utm_campaign=tw&amp;rs=SHRNRRCV" TargetMode="External" /><Relationship Id="rId4" Type="http://schemas.openxmlformats.org/officeDocument/2006/relationships/hyperlink" Target="https://truthusa.us/business-news/new-zealand-government-to-use-emission-trading-scheme-to-fund-ev-rollout/" TargetMode="External" /><Relationship Id="rId5" Type="http://schemas.openxmlformats.org/officeDocument/2006/relationships/hyperlink" Target="https://thespinoff.co.nz/politics/17-05-2022/the-erp-is-a-step-in-the-right-direction-but-wheres-the-ambition" TargetMode="External" /><Relationship Id="rId6" Type="http://schemas.openxmlformats.org/officeDocument/2006/relationships/hyperlink" Target="https://twitter.com/CriticalMassAKL/status/1526028961393745921" TargetMode="External" /><Relationship Id="rId7" Type="http://schemas.openxmlformats.org/officeDocument/2006/relationships/hyperlink" Target="https://www.newstalkzb.co.nz/on-air/mike-hosking-breakfast/audio/tim-mackle-and-adrian-macey-dairy-nz-ceo-and-victoria-university-climate-expert-on-whats-needed-and-expected-from-todays-emission-reduction-plan/" TargetMode="External" /><Relationship Id="rId8" Type="http://schemas.openxmlformats.org/officeDocument/2006/relationships/hyperlink" Target="https://www.newshub.co.nz/home/politics/2022/05/emissions-reduction-plan-transport-takes-leading-role-with-scrap-and-replace-low-emission-vehicle-leasing-trials-announced.html?utm_source=dlvr.it&amp;utm_medium=twitter" TargetMode="External" /><Relationship Id="rId9" Type="http://schemas.openxmlformats.org/officeDocument/2006/relationships/hyperlink" Target="https://www.rnz.co.nz/news/business/466954/solar-power-companies-plan-to-start-building-at-multiple-sites" TargetMode="External" /><Relationship Id="rId10" Type="http://schemas.openxmlformats.org/officeDocument/2006/relationships/hyperlink" Target="http://dlrppn.ie/invitation-to-launch-of-the-results-of-the-dublin-region-energy-master-plan/" TargetMode="External" /><Relationship Id="rId11" Type="http://schemas.openxmlformats.org/officeDocument/2006/relationships/hyperlink" Target="https://www.beehive.govt.nz/release/aotearoa-sets-course-net-zero-first-three-emissions-budgets?utm_campaign=coschedule&amp;utm_source=twitter&amp;utm_medium=ToituEnvirocare" TargetMode="External" /><Relationship Id="rId12" Type="http://schemas.openxmlformats.org/officeDocument/2006/relationships/hyperlink" Target="https://unglobalcompact.org/take-action/climate-ambition-accelerator" TargetMode="External" /><Relationship Id="rId13" Type="http://schemas.openxmlformats.org/officeDocument/2006/relationships/hyperlink" Target="https://lawlerconsulting.com/your-road-to-net-zero-in-2022/" TargetMode="External" /><Relationship Id="rId14" Type="http://schemas.openxmlformats.org/officeDocument/2006/relationships/hyperlink" Target="https://www.stuff.co.nz/national/politics/opinion/128635128/the-new-emission-reduction-plan-will-reveal-just-how-much-we-care-about-climate.html?utm_source=dlvr.it&amp;utm_medium=twitter" TargetMode="External" /><Relationship Id="rId15" Type="http://schemas.openxmlformats.org/officeDocument/2006/relationships/hyperlink" Target="https://www.stuff.co.nz/national/politics/opinion/128635128/the-new-emission-reduction-plan-will-reveal-just-how-much-we-care-about-climate" TargetMode="External" /><Relationship Id="rId16" Type="http://schemas.openxmlformats.org/officeDocument/2006/relationships/hyperlink" Target="https://www.stuff.co.nz/environment/climate-news/128657390/emission-reduction-plan-govts-100km-commitment-to-safe-cycling-unambitious.html?utm_source=dlvr.it&amp;utm_medium=twitter" TargetMode="External" /><Relationship Id="rId17" Type="http://schemas.openxmlformats.org/officeDocument/2006/relationships/hyperlink" Target="https://environment.govt.nz/assets/publications/Aotearoa-New-Zealands-first-emissions-reduction-plan.pdf" TargetMode="External" /><Relationship Id="rId18" Type="http://schemas.openxmlformats.org/officeDocument/2006/relationships/hyperlink" Target="https://twitter.com/nashthomas/status/1526091823403241472" TargetMode="External" /><Relationship Id="rId19" Type="http://schemas.openxmlformats.org/officeDocument/2006/relationships/hyperlink" Target="https://twitter.com/environmentgvnz/status/1525989421895532544" TargetMode="External" /><Relationship Id="rId20" Type="http://schemas.openxmlformats.org/officeDocument/2006/relationships/hyperlink" Target="https://businessdesk.co.nz/article/climate-change/concrete-govt-eyes-carbon-border-tax" TargetMode="External" /><Relationship Id="rId21" Type="http://schemas.openxmlformats.org/officeDocument/2006/relationships/hyperlink" Target="https://twitter.com/CriticalMassAKL/status/1526028961393745921" TargetMode="External" /><Relationship Id="rId22" Type="http://schemas.openxmlformats.org/officeDocument/2006/relationships/hyperlink" Target="https://www.newshub.co.nz/home/politics/2022/05/emissions-reduction-plan-transport-takes-leading-role-with-scrap-and-replace-low-emission-vehicle-leasing-trials-announced.html" TargetMode="External" /><Relationship Id="rId23" Type="http://schemas.openxmlformats.org/officeDocument/2006/relationships/hyperlink" Target="https://www.newshub.co.nz/home/politics/2022/05/emissions-reduction-plan-transport-takes-leading-role-with-scrap-and-replace-low-emission-vehicle-leasing-trials-announced.html?utm_source=dlvr.it&amp;utm_medium=twitter" TargetMode="External" /><Relationship Id="rId24" Type="http://schemas.openxmlformats.org/officeDocument/2006/relationships/hyperlink" Target="https://www.theguardian.com/world/2022/may/16/help-to-buy-evs-in-landmark-new-zealand-net-zero-climate-plan" TargetMode="External" /><Relationship Id="rId25" Type="http://schemas.openxmlformats.org/officeDocument/2006/relationships/hyperlink" Target="https://www.theepochtimes.com/new-zealand-government-to-use-emission-trading-scheme-to-fund-ev-rollout_4471459.html?utm_source=ref_share&amp;utm_campaign=tw&amp;rs=SHRNRRCV" TargetMode="Externa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17.7109375" style="0" bestFit="1" customWidth="1"/>
    <col min="59" max="59" width="22.140625" style="0" bestFit="1" customWidth="1"/>
    <col min="60" max="60" width="17.7109375" style="0" bestFit="1" customWidth="1"/>
    <col min="61" max="61" width="22.140625" style="0" bestFit="1" customWidth="1"/>
    <col min="62" max="62" width="17.7109375" style="0" bestFit="1" customWidth="1"/>
    <col min="63" max="63" width="22.140625" style="0" bestFit="1" customWidth="1"/>
    <col min="64" max="64" width="16.8515625" style="0" bestFit="1" customWidth="1"/>
    <col min="65" max="65" width="20.57421875" style="0" bestFit="1" customWidth="1"/>
    <col min="66" max="66" width="14.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339</v>
      </c>
      <c r="BD2" s="13" t="s">
        <v>347</v>
      </c>
      <c r="BE2" s="13" t="s">
        <v>348</v>
      </c>
      <c r="BF2" s="54" t="s">
        <v>402</v>
      </c>
      <c r="BG2" s="54" t="s">
        <v>403</v>
      </c>
      <c r="BH2" s="54" t="s">
        <v>404</v>
      </c>
      <c r="BI2" s="54" t="s">
        <v>405</v>
      </c>
      <c r="BJ2" s="54" t="s">
        <v>406</v>
      </c>
      <c r="BK2" s="54" t="s">
        <v>407</v>
      </c>
      <c r="BL2" s="54" t="s">
        <v>408</v>
      </c>
      <c r="BM2" s="54" t="s">
        <v>409</v>
      </c>
      <c r="BN2" s="54" t="s">
        <v>410</v>
      </c>
    </row>
    <row r="3" spans="1:66" ht="15" customHeight="1">
      <c r="A3" s="66" t="s">
        <v>637</v>
      </c>
      <c r="B3" s="66" t="s">
        <v>637</v>
      </c>
      <c r="C3" s="84" t="s">
        <v>538</v>
      </c>
      <c r="D3" s="94">
        <v>5</v>
      </c>
      <c r="E3" s="95"/>
      <c r="F3" s="96">
        <v>50</v>
      </c>
      <c r="G3" s="84"/>
      <c r="H3" s="82"/>
      <c r="I3" s="97"/>
      <c r="J3" s="97"/>
      <c r="K3" s="35" t="s">
        <v>65</v>
      </c>
      <c r="L3" s="98">
        <v>3</v>
      </c>
      <c r="M3" s="98"/>
      <c r="N3" s="99"/>
      <c r="O3" s="67" t="s">
        <v>218</v>
      </c>
      <c r="P3" s="69">
        <v>44691.95145833334</v>
      </c>
      <c r="Q3" s="67" t="s">
        <v>698</v>
      </c>
      <c r="R3" s="71" t="str">
        <f>HYPERLINK("https://www.beehive.govt.nz/release/aotearoa-sets-course-net-zero-first-three-emissions-budgets?utm_campaign=coschedule&amp;utm_source=twitter&amp;utm_medium=ToituEnvirocare")</f>
        <v>https://www.beehive.govt.nz/release/aotearoa-sets-course-net-zero-first-three-emissions-budgets?utm_campaign=coschedule&amp;utm_source=twitter&amp;utm_medium=ToituEnvirocare</v>
      </c>
      <c r="S3" s="67" t="s">
        <v>703</v>
      </c>
      <c r="T3" s="67"/>
      <c r="U3" s="71"/>
      <c r="V3" s="71" t="str">
        <f>HYPERLINK("https://pbs.twimg.com/profile_images/1192168373024514048/H3yG8qep_normal.png")</f>
        <v>https://pbs.twimg.com/profile_images/1192168373024514048/H3yG8qep_normal.png</v>
      </c>
      <c r="W3" s="69">
        <v>44691.95145833334</v>
      </c>
      <c r="X3" s="74">
        <v>44691</v>
      </c>
      <c r="Y3" s="76" t="s">
        <v>825</v>
      </c>
      <c r="Z3" s="71" t="str">
        <f>HYPERLINK("https://twitter.com/toituenvirocare/status/1524159877140008960")</f>
        <v>https://twitter.com/toituenvirocare/status/1524159877140008960</v>
      </c>
      <c r="AA3" s="67"/>
      <c r="AB3" s="67"/>
      <c r="AC3" s="76" t="s">
        <v>928</v>
      </c>
      <c r="AD3" s="67"/>
      <c r="AE3" s="67" t="b">
        <v>0</v>
      </c>
      <c r="AF3" s="67">
        <v>3</v>
      </c>
      <c r="AG3" s="76" t="s">
        <v>282</v>
      </c>
      <c r="AH3" s="67" t="b">
        <v>0</v>
      </c>
      <c r="AI3" s="67" t="s">
        <v>283</v>
      </c>
      <c r="AJ3" s="67"/>
      <c r="AK3" s="76" t="s">
        <v>282</v>
      </c>
      <c r="AL3" s="67" t="b">
        <v>0</v>
      </c>
      <c r="AM3" s="67">
        <v>0</v>
      </c>
      <c r="AN3" s="76" t="s">
        <v>282</v>
      </c>
      <c r="AO3" s="76" t="s">
        <v>957</v>
      </c>
      <c r="AP3" s="67" t="b">
        <v>0</v>
      </c>
      <c r="AQ3" s="76" t="s">
        <v>928</v>
      </c>
      <c r="AR3" s="67" t="s">
        <v>218</v>
      </c>
      <c r="AS3" s="67">
        <v>0</v>
      </c>
      <c r="AT3" s="67">
        <v>0</v>
      </c>
      <c r="AU3" s="67"/>
      <c r="AV3" s="67"/>
      <c r="AW3" s="67"/>
      <c r="AX3" s="67"/>
      <c r="AY3" s="67"/>
      <c r="AZ3" s="67"/>
      <c r="BA3" s="67"/>
      <c r="BB3" s="67"/>
      <c r="BC3" s="67">
        <v>1</v>
      </c>
      <c r="BD3" s="67" t="str">
        <f>REPLACE(INDEX(GroupVertices[Group],MATCH(Edges[[#This Row],[Vertex 1]],GroupVertices[Vertex],0)),1,1,"")</f>
        <v>2</v>
      </c>
      <c r="BE3" s="67" t="str">
        <f>REPLACE(INDEX(GroupVertices[Group],MATCH(Edges[[#This Row],[Vertex 2]],GroupVertices[Vertex],0)),1,1,"")</f>
        <v>2</v>
      </c>
      <c r="BF3" s="49">
        <v>2</v>
      </c>
      <c r="BG3" s="50">
        <v>4.651162790697675</v>
      </c>
      <c r="BH3" s="49">
        <v>1</v>
      </c>
      <c r="BI3" s="50">
        <v>2.3255813953488373</v>
      </c>
      <c r="BJ3" s="49">
        <v>0</v>
      </c>
      <c r="BK3" s="50">
        <v>0</v>
      </c>
      <c r="BL3" s="49">
        <v>40</v>
      </c>
      <c r="BM3" s="50">
        <v>93.02325581395348</v>
      </c>
      <c r="BN3" s="49">
        <v>43</v>
      </c>
    </row>
    <row r="4" spans="1:66" ht="15" customHeight="1">
      <c r="A4" s="66" t="s">
        <v>542</v>
      </c>
      <c r="B4" s="66" t="s">
        <v>542</v>
      </c>
      <c r="C4" s="84" t="s">
        <v>538</v>
      </c>
      <c r="D4" s="94">
        <v>5</v>
      </c>
      <c r="E4" s="84"/>
      <c r="F4" s="96">
        <v>50</v>
      </c>
      <c r="G4" s="84"/>
      <c r="H4" s="82"/>
      <c r="I4" s="97"/>
      <c r="J4" s="97"/>
      <c r="K4" s="35" t="s">
        <v>65</v>
      </c>
      <c r="L4" s="98">
        <v>4</v>
      </c>
      <c r="M4" s="98"/>
      <c r="N4" s="99"/>
      <c r="O4" s="68" t="s">
        <v>218</v>
      </c>
      <c r="P4" s="70">
        <v>44692.45591435185</v>
      </c>
      <c r="Q4" s="68" t="s">
        <v>655</v>
      </c>
      <c r="R4" s="72" t="str">
        <f>HYPERLINK("http://dlrppn.ie/invitation-to-launch-of-the-results-of-the-dublin-region-energy-master-plan/")</f>
        <v>http://dlrppn.ie/invitation-to-launch-of-the-results-of-the-dublin-region-energy-master-plan/</v>
      </c>
      <c r="S4" s="68" t="s">
        <v>699</v>
      </c>
      <c r="T4" s="68"/>
      <c r="U4" s="72" t="str">
        <f>HYPERLINK("https://pbs.twimg.com/media/FSeNSA2X0AAh0K4.jpg")</f>
        <v>https://pbs.twimg.com/media/FSeNSA2X0AAh0K4.jpg</v>
      </c>
      <c r="V4" s="72" t="str">
        <f>HYPERLINK("https://pbs.twimg.com/media/FSeNSA2X0AAh0K4.jpg")</f>
        <v>https://pbs.twimg.com/media/FSeNSA2X0AAh0K4.jpg</v>
      </c>
      <c r="W4" s="70">
        <v>44692.45591435185</v>
      </c>
      <c r="X4" s="75">
        <v>44692</v>
      </c>
      <c r="Y4" s="73" t="s">
        <v>723</v>
      </c>
      <c r="Z4" s="72" t="str">
        <f>HYPERLINK("https://twitter.com/dlrppn/status/1524342685351485442")</f>
        <v>https://twitter.com/dlrppn/status/1524342685351485442</v>
      </c>
      <c r="AA4" s="68"/>
      <c r="AB4" s="68"/>
      <c r="AC4" s="73" t="s">
        <v>826</v>
      </c>
      <c r="AD4" s="68"/>
      <c r="AE4" s="68" t="b">
        <v>0</v>
      </c>
      <c r="AF4" s="68">
        <v>1</v>
      </c>
      <c r="AG4" s="73" t="s">
        <v>282</v>
      </c>
      <c r="AH4" s="68" t="b">
        <v>0</v>
      </c>
      <c r="AI4" s="68" t="s">
        <v>283</v>
      </c>
      <c r="AJ4" s="68"/>
      <c r="AK4" s="73" t="s">
        <v>282</v>
      </c>
      <c r="AL4" s="68" t="b">
        <v>0</v>
      </c>
      <c r="AM4" s="68">
        <v>1</v>
      </c>
      <c r="AN4" s="73" t="s">
        <v>282</v>
      </c>
      <c r="AO4" s="73" t="s">
        <v>285</v>
      </c>
      <c r="AP4" s="68" t="b">
        <v>0</v>
      </c>
      <c r="AQ4" s="73" t="s">
        <v>826</v>
      </c>
      <c r="AR4" s="68" t="s">
        <v>218</v>
      </c>
      <c r="AS4" s="68">
        <v>0</v>
      </c>
      <c r="AT4" s="68">
        <v>0</v>
      </c>
      <c r="AU4" s="68"/>
      <c r="AV4" s="68"/>
      <c r="AW4" s="68"/>
      <c r="AX4" s="68"/>
      <c r="AY4" s="68"/>
      <c r="AZ4" s="68"/>
      <c r="BA4" s="68"/>
      <c r="BB4" s="68"/>
      <c r="BC4" s="68">
        <v>1</v>
      </c>
      <c r="BD4" s="67" t="str">
        <f>REPLACE(INDEX(GroupVertices[Group],MATCH(Edges[[#This Row],[Vertex 1]],GroupVertices[Vertex],0)),1,1,"")</f>
        <v>23</v>
      </c>
      <c r="BE4" s="67" t="str">
        <f>REPLACE(INDEX(GroupVertices[Group],MATCH(Edges[[#This Row],[Vertex 2]],GroupVertices[Vertex],0)),1,1,"")</f>
        <v>23</v>
      </c>
      <c r="BF4" s="49">
        <v>2</v>
      </c>
      <c r="BG4" s="50">
        <v>4.878048780487805</v>
      </c>
      <c r="BH4" s="49">
        <v>0</v>
      </c>
      <c r="BI4" s="50">
        <v>0</v>
      </c>
      <c r="BJ4" s="49">
        <v>0</v>
      </c>
      <c r="BK4" s="50">
        <v>0</v>
      </c>
      <c r="BL4" s="49">
        <v>39</v>
      </c>
      <c r="BM4" s="50">
        <v>95.1219512195122</v>
      </c>
      <c r="BN4" s="49">
        <v>41</v>
      </c>
    </row>
    <row r="5" spans="1:66" ht="15">
      <c r="A5" s="66" t="s">
        <v>543</v>
      </c>
      <c r="B5" s="66" t="s">
        <v>542</v>
      </c>
      <c r="C5" s="84" t="s">
        <v>538</v>
      </c>
      <c r="D5" s="94">
        <v>5</v>
      </c>
      <c r="E5" s="84"/>
      <c r="F5" s="96">
        <v>50</v>
      </c>
      <c r="G5" s="84"/>
      <c r="H5" s="82"/>
      <c r="I5" s="97"/>
      <c r="J5" s="97"/>
      <c r="K5" s="35" t="s">
        <v>65</v>
      </c>
      <c r="L5" s="98">
        <v>5</v>
      </c>
      <c r="M5" s="98"/>
      <c r="N5" s="99"/>
      <c r="O5" s="68" t="s">
        <v>262</v>
      </c>
      <c r="P5" s="70">
        <v>44692.47875</v>
      </c>
      <c r="Q5" s="68" t="s">
        <v>655</v>
      </c>
      <c r="R5" s="72" t="str">
        <f>HYPERLINK("http://dlrppn.ie/invitation-to-launch-of-the-results-of-the-dublin-region-energy-master-plan/")</f>
        <v>http://dlrppn.ie/invitation-to-launch-of-the-results-of-the-dublin-region-energy-master-plan/</v>
      </c>
      <c r="S5" s="68" t="s">
        <v>699</v>
      </c>
      <c r="T5" s="68"/>
      <c r="U5" s="72" t="str">
        <f>HYPERLINK("https://pbs.twimg.com/media/FSeNSA2X0AAh0K4.jpg")</f>
        <v>https://pbs.twimg.com/media/FSeNSA2X0AAh0K4.jpg</v>
      </c>
      <c r="V5" s="72" t="str">
        <f>HYPERLINK("https://pbs.twimg.com/media/FSeNSA2X0AAh0K4.jpg")</f>
        <v>https://pbs.twimg.com/media/FSeNSA2X0AAh0K4.jpg</v>
      </c>
      <c r="W5" s="70">
        <v>44692.47875</v>
      </c>
      <c r="X5" s="75">
        <v>44692</v>
      </c>
      <c r="Y5" s="73" t="s">
        <v>724</v>
      </c>
      <c r="Z5" s="72" t="str">
        <f>HYPERLINK("https://twitter.com/jimgildea2014/status/1524350960851640320")</f>
        <v>https://twitter.com/jimgildea2014/status/1524350960851640320</v>
      </c>
      <c r="AA5" s="68"/>
      <c r="AB5" s="68"/>
      <c r="AC5" s="73" t="s">
        <v>827</v>
      </c>
      <c r="AD5" s="68"/>
      <c r="AE5" s="68" t="b">
        <v>0</v>
      </c>
      <c r="AF5" s="68">
        <v>0</v>
      </c>
      <c r="AG5" s="73" t="s">
        <v>282</v>
      </c>
      <c r="AH5" s="68" t="b">
        <v>0</v>
      </c>
      <c r="AI5" s="68" t="s">
        <v>283</v>
      </c>
      <c r="AJ5" s="68"/>
      <c r="AK5" s="73" t="s">
        <v>282</v>
      </c>
      <c r="AL5" s="68" t="b">
        <v>0</v>
      </c>
      <c r="AM5" s="68">
        <v>1</v>
      </c>
      <c r="AN5" s="73" t="s">
        <v>826</v>
      </c>
      <c r="AO5" s="73" t="s">
        <v>284</v>
      </c>
      <c r="AP5" s="68" t="b">
        <v>0</v>
      </c>
      <c r="AQ5" s="73" t="s">
        <v>826</v>
      </c>
      <c r="AR5" s="68" t="s">
        <v>218</v>
      </c>
      <c r="AS5" s="68">
        <v>0</v>
      </c>
      <c r="AT5" s="68">
        <v>0</v>
      </c>
      <c r="AU5" s="68"/>
      <c r="AV5" s="68"/>
      <c r="AW5" s="68"/>
      <c r="AX5" s="68"/>
      <c r="AY5" s="68"/>
      <c r="AZ5" s="68"/>
      <c r="BA5" s="68"/>
      <c r="BB5" s="68"/>
      <c r="BC5" s="68">
        <v>1</v>
      </c>
      <c r="BD5" s="67" t="str">
        <f>REPLACE(INDEX(GroupVertices[Group],MATCH(Edges[[#This Row],[Vertex 1]],GroupVertices[Vertex],0)),1,1,"")</f>
        <v>23</v>
      </c>
      <c r="BE5" s="67" t="str">
        <f>REPLACE(INDEX(GroupVertices[Group],MATCH(Edges[[#This Row],[Vertex 2]],GroupVertices[Vertex],0)),1,1,"")</f>
        <v>23</v>
      </c>
      <c r="BF5" s="49">
        <v>2</v>
      </c>
      <c r="BG5" s="50">
        <v>4.878048780487805</v>
      </c>
      <c r="BH5" s="49">
        <v>0</v>
      </c>
      <c r="BI5" s="50">
        <v>0</v>
      </c>
      <c r="BJ5" s="49">
        <v>0</v>
      </c>
      <c r="BK5" s="50">
        <v>0</v>
      </c>
      <c r="BL5" s="49">
        <v>39</v>
      </c>
      <c r="BM5" s="50">
        <v>95.1219512195122</v>
      </c>
      <c r="BN5" s="49">
        <v>41</v>
      </c>
    </row>
    <row r="6" spans="1:66" ht="15">
      <c r="A6" s="66" t="s">
        <v>544</v>
      </c>
      <c r="B6" s="66" t="s">
        <v>638</v>
      </c>
      <c r="C6" s="84" t="s">
        <v>538</v>
      </c>
      <c r="D6" s="94">
        <v>5</v>
      </c>
      <c r="E6" s="84"/>
      <c r="F6" s="96">
        <v>50</v>
      </c>
      <c r="G6" s="84"/>
      <c r="H6" s="82"/>
      <c r="I6" s="97"/>
      <c r="J6" s="97"/>
      <c r="K6" s="35" t="s">
        <v>65</v>
      </c>
      <c r="L6" s="98">
        <v>6</v>
      </c>
      <c r="M6" s="98"/>
      <c r="N6" s="99"/>
      <c r="O6" s="68" t="s">
        <v>263</v>
      </c>
      <c r="P6" s="70">
        <v>44693.03975694445</v>
      </c>
      <c r="Q6" s="68" t="s">
        <v>656</v>
      </c>
      <c r="R6" s="72" t="str">
        <f>HYPERLINK("https://www.rnz.co.nz/news/business/466954/solar-power-companies-plan-to-start-building-at-multiple-sites")</f>
        <v>https://www.rnz.co.nz/news/business/466954/solar-power-companies-plan-to-start-building-at-multiple-sites</v>
      </c>
      <c r="S6" s="68" t="s">
        <v>269</v>
      </c>
      <c r="T6" s="68"/>
      <c r="U6" s="68"/>
      <c r="V6" s="72" t="str">
        <f>HYPERLINK("https://pbs.twimg.com/profile_images/759282364371599361/qiX0fEdA_normal.jpg")</f>
        <v>https://pbs.twimg.com/profile_images/759282364371599361/qiX0fEdA_normal.jpg</v>
      </c>
      <c r="W6" s="70">
        <v>44693.03975694445</v>
      </c>
      <c r="X6" s="75">
        <v>44693</v>
      </c>
      <c r="Y6" s="73" t="s">
        <v>725</v>
      </c>
      <c r="Z6" s="72" t="str">
        <f>HYPERLINK("https://twitter.com/rich_homewood/status/1524554261027205120")</f>
        <v>https://twitter.com/rich_homewood/status/1524554261027205120</v>
      </c>
      <c r="AA6" s="68"/>
      <c r="AB6" s="68"/>
      <c r="AC6" s="73" t="s">
        <v>828</v>
      </c>
      <c r="AD6" s="68"/>
      <c r="AE6" s="68" t="b">
        <v>0</v>
      </c>
      <c r="AF6" s="68">
        <v>3</v>
      </c>
      <c r="AG6" s="73" t="s">
        <v>282</v>
      </c>
      <c r="AH6" s="68" t="b">
        <v>0</v>
      </c>
      <c r="AI6" s="68" t="s">
        <v>283</v>
      </c>
      <c r="AJ6" s="68"/>
      <c r="AK6" s="73" t="s">
        <v>282</v>
      </c>
      <c r="AL6" s="68" t="b">
        <v>0</v>
      </c>
      <c r="AM6" s="68">
        <v>1</v>
      </c>
      <c r="AN6" s="73" t="s">
        <v>282</v>
      </c>
      <c r="AO6" s="73" t="s">
        <v>285</v>
      </c>
      <c r="AP6" s="68" t="b">
        <v>0</v>
      </c>
      <c r="AQ6" s="73" t="s">
        <v>828</v>
      </c>
      <c r="AR6" s="68" t="s">
        <v>218</v>
      </c>
      <c r="AS6" s="68">
        <v>0</v>
      </c>
      <c r="AT6" s="68">
        <v>0</v>
      </c>
      <c r="AU6" s="68"/>
      <c r="AV6" s="68"/>
      <c r="AW6" s="68"/>
      <c r="AX6" s="68"/>
      <c r="AY6" s="68"/>
      <c r="AZ6" s="68"/>
      <c r="BA6" s="68"/>
      <c r="BB6" s="68"/>
      <c r="BC6" s="68">
        <v>1</v>
      </c>
      <c r="BD6" s="67" t="str">
        <f>REPLACE(INDEX(GroupVertices[Group],MATCH(Edges[[#This Row],[Vertex 1]],GroupVertices[Vertex],0)),1,1,"")</f>
        <v>13</v>
      </c>
      <c r="BE6" s="67" t="str">
        <f>REPLACE(INDEX(GroupVertices[Group],MATCH(Edges[[#This Row],[Vertex 2]],GroupVertices[Vertex],0)),1,1,"")</f>
        <v>13</v>
      </c>
      <c r="BF6" s="49">
        <v>1</v>
      </c>
      <c r="BG6" s="50">
        <v>2.380952380952381</v>
      </c>
      <c r="BH6" s="49">
        <v>0</v>
      </c>
      <c r="BI6" s="50">
        <v>0</v>
      </c>
      <c r="BJ6" s="49">
        <v>0</v>
      </c>
      <c r="BK6" s="50">
        <v>0</v>
      </c>
      <c r="BL6" s="49">
        <v>41</v>
      </c>
      <c r="BM6" s="50">
        <v>97.61904761904762</v>
      </c>
      <c r="BN6" s="49">
        <v>42</v>
      </c>
    </row>
    <row r="7" spans="1:66" ht="15">
      <c r="A7" s="66" t="s">
        <v>545</v>
      </c>
      <c r="B7" s="66" t="s">
        <v>638</v>
      </c>
      <c r="C7" s="84" t="s">
        <v>538</v>
      </c>
      <c r="D7" s="94">
        <v>5</v>
      </c>
      <c r="E7" s="84"/>
      <c r="F7" s="96">
        <v>50</v>
      </c>
      <c r="G7" s="84"/>
      <c r="H7" s="82"/>
      <c r="I7" s="97"/>
      <c r="J7" s="97"/>
      <c r="K7" s="35" t="s">
        <v>65</v>
      </c>
      <c r="L7" s="98">
        <v>7</v>
      </c>
      <c r="M7" s="98"/>
      <c r="N7" s="99"/>
      <c r="O7" s="68" t="s">
        <v>264</v>
      </c>
      <c r="P7" s="70">
        <v>44693.37021990741</v>
      </c>
      <c r="Q7" s="68" t="s">
        <v>656</v>
      </c>
      <c r="R7" s="72" t="str">
        <f>HYPERLINK("https://www.rnz.co.nz/news/business/466954/solar-power-companies-plan-to-start-building-at-multiple-sites")</f>
        <v>https://www.rnz.co.nz/news/business/466954/solar-power-companies-plan-to-start-building-at-multiple-sites</v>
      </c>
      <c r="S7" s="68" t="s">
        <v>269</v>
      </c>
      <c r="T7" s="68"/>
      <c r="U7" s="68"/>
      <c r="V7" s="72" t="str">
        <f>HYPERLINK("https://pbs.twimg.com/profile_images/1364092440911568896/Q-iuTOXG_normal.jpg")</f>
        <v>https://pbs.twimg.com/profile_images/1364092440911568896/Q-iuTOXG_normal.jpg</v>
      </c>
      <c r="W7" s="70">
        <v>44693.37021990741</v>
      </c>
      <c r="X7" s="75">
        <v>44693</v>
      </c>
      <c r="Y7" s="73" t="s">
        <v>726</v>
      </c>
      <c r="Z7" s="72" t="str">
        <f>HYPERLINK("https://twitter.com/isalutem/status/1524674016350728192")</f>
        <v>https://twitter.com/isalutem/status/1524674016350728192</v>
      </c>
      <c r="AA7" s="68"/>
      <c r="AB7" s="68"/>
      <c r="AC7" s="73" t="s">
        <v>829</v>
      </c>
      <c r="AD7" s="68"/>
      <c r="AE7" s="68" t="b">
        <v>0</v>
      </c>
      <c r="AF7" s="68">
        <v>0</v>
      </c>
      <c r="AG7" s="73" t="s">
        <v>282</v>
      </c>
      <c r="AH7" s="68" t="b">
        <v>0</v>
      </c>
      <c r="AI7" s="68" t="s">
        <v>283</v>
      </c>
      <c r="AJ7" s="68"/>
      <c r="AK7" s="73" t="s">
        <v>282</v>
      </c>
      <c r="AL7" s="68" t="b">
        <v>0</v>
      </c>
      <c r="AM7" s="68">
        <v>1</v>
      </c>
      <c r="AN7" s="73" t="s">
        <v>828</v>
      </c>
      <c r="AO7" s="73" t="s">
        <v>947</v>
      </c>
      <c r="AP7" s="68" t="b">
        <v>0</v>
      </c>
      <c r="AQ7" s="73" t="s">
        <v>828</v>
      </c>
      <c r="AR7" s="68" t="s">
        <v>218</v>
      </c>
      <c r="AS7" s="68">
        <v>0</v>
      </c>
      <c r="AT7" s="68">
        <v>0</v>
      </c>
      <c r="AU7" s="68"/>
      <c r="AV7" s="68"/>
      <c r="AW7" s="68"/>
      <c r="AX7" s="68"/>
      <c r="AY7" s="68"/>
      <c r="AZ7" s="68"/>
      <c r="BA7" s="68"/>
      <c r="BB7" s="68"/>
      <c r="BC7" s="68">
        <v>1</v>
      </c>
      <c r="BD7" s="67" t="str">
        <f>REPLACE(INDEX(GroupVertices[Group],MATCH(Edges[[#This Row],[Vertex 1]],GroupVertices[Vertex],0)),1,1,"")</f>
        <v>13</v>
      </c>
      <c r="BE7" s="67" t="str">
        <f>REPLACE(INDEX(GroupVertices[Group],MATCH(Edges[[#This Row],[Vertex 2]],GroupVertices[Vertex],0)),1,1,"")</f>
        <v>13</v>
      </c>
      <c r="BF7" s="49"/>
      <c r="BG7" s="50"/>
      <c r="BH7" s="49"/>
      <c r="BI7" s="50"/>
      <c r="BJ7" s="49"/>
      <c r="BK7" s="50"/>
      <c r="BL7" s="49"/>
      <c r="BM7" s="50"/>
      <c r="BN7" s="49"/>
    </row>
    <row r="8" spans="1:66" ht="15">
      <c r="A8" s="66" t="s">
        <v>545</v>
      </c>
      <c r="B8" s="66" t="s">
        <v>544</v>
      </c>
      <c r="C8" s="84" t="s">
        <v>538</v>
      </c>
      <c r="D8" s="94">
        <v>5</v>
      </c>
      <c r="E8" s="84"/>
      <c r="F8" s="96">
        <v>50</v>
      </c>
      <c r="G8" s="84"/>
      <c r="H8" s="82"/>
      <c r="I8" s="97"/>
      <c r="J8" s="97"/>
      <c r="K8" s="35" t="s">
        <v>65</v>
      </c>
      <c r="L8" s="98">
        <v>8</v>
      </c>
      <c r="M8" s="98"/>
      <c r="N8" s="99"/>
      <c r="O8" s="68" t="s">
        <v>262</v>
      </c>
      <c r="P8" s="70">
        <v>44693.37021990741</v>
      </c>
      <c r="Q8" s="68" t="s">
        <v>656</v>
      </c>
      <c r="R8" s="72" t="str">
        <f>HYPERLINK("https://www.rnz.co.nz/news/business/466954/solar-power-companies-plan-to-start-building-at-multiple-sites")</f>
        <v>https://www.rnz.co.nz/news/business/466954/solar-power-companies-plan-to-start-building-at-multiple-sites</v>
      </c>
      <c r="S8" s="68" t="s">
        <v>269</v>
      </c>
      <c r="T8" s="68"/>
      <c r="U8" s="68"/>
      <c r="V8" s="72" t="str">
        <f>HYPERLINK("https://pbs.twimg.com/profile_images/1364092440911568896/Q-iuTOXG_normal.jpg")</f>
        <v>https://pbs.twimg.com/profile_images/1364092440911568896/Q-iuTOXG_normal.jpg</v>
      </c>
      <c r="W8" s="70">
        <v>44693.37021990741</v>
      </c>
      <c r="X8" s="75">
        <v>44693</v>
      </c>
      <c r="Y8" s="73" t="s">
        <v>726</v>
      </c>
      <c r="Z8" s="72" t="str">
        <f>HYPERLINK("https://twitter.com/isalutem/status/1524674016350728192")</f>
        <v>https://twitter.com/isalutem/status/1524674016350728192</v>
      </c>
      <c r="AA8" s="68"/>
      <c r="AB8" s="68"/>
      <c r="AC8" s="73" t="s">
        <v>829</v>
      </c>
      <c r="AD8" s="68"/>
      <c r="AE8" s="68" t="b">
        <v>0</v>
      </c>
      <c r="AF8" s="68">
        <v>0</v>
      </c>
      <c r="AG8" s="73" t="s">
        <v>282</v>
      </c>
      <c r="AH8" s="68" t="b">
        <v>0</v>
      </c>
      <c r="AI8" s="68" t="s">
        <v>283</v>
      </c>
      <c r="AJ8" s="68"/>
      <c r="AK8" s="73" t="s">
        <v>282</v>
      </c>
      <c r="AL8" s="68" t="b">
        <v>0</v>
      </c>
      <c r="AM8" s="68">
        <v>1</v>
      </c>
      <c r="AN8" s="73" t="s">
        <v>828</v>
      </c>
      <c r="AO8" s="73" t="s">
        <v>947</v>
      </c>
      <c r="AP8" s="68" t="b">
        <v>0</v>
      </c>
      <c r="AQ8" s="73" t="s">
        <v>828</v>
      </c>
      <c r="AR8" s="68" t="s">
        <v>218</v>
      </c>
      <c r="AS8" s="68">
        <v>0</v>
      </c>
      <c r="AT8" s="68">
        <v>0</v>
      </c>
      <c r="AU8" s="68"/>
      <c r="AV8" s="68"/>
      <c r="AW8" s="68"/>
      <c r="AX8" s="68"/>
      <c r="AY8" s="68"/>
      <c r="AZ8" s="68"/>
      <c r="BA8" s="68"/>
      <c r="BB8" s="68"/>
      <c r="BC8" s="68">
        <v>1</v>
      </c>
      <c r="BD8" s="67" t="str">
        <f>REPLACE(INDEX(GroupVertices[Group],MATCH(Edges[[#This Row],[Vertex 1]],GroupVertices[Vertex],0)),1,1,"")</f>
        <v>13</v>
      </c>
      <c r="BE8" s="67" t="str">
        <f>REPLACE(INDEX(GroupVertices[Group],MATCH(Edges[[#This Row],[Vertex 2]],GroupVertices[Vertex],0)),1,1,"")</f>
        <v>13</v>
      </c>
      <c r="BF8" s="49">
        <v>1</v>
      </c>
      <c r="BG8" s="50">
        <v>2.380952380952381</v>
      </c>
      <c r="BH8" s="49">
        <v>0</v>
      </c>
      <c r="BI8" s="50">
        <v>0</v>
      </c>
      <c r="BJ8" s="49">
        <v>0</v>
      </c>
      <c r="BK8" s="50">
        <v>0</v>
      </c>
      <c r="BL8" s="49">
        <v>41</v>
      </c>
      <c r="BM8" s="50">
        <v>97.61904761904762</v>
      </c>
      <c r="BN8" s="49">
        <v>42</v>
      </c>
    </row>
    <row r="9" spans="1:66" ht="15">
      <c r="A9" s="66" t="s">
        <v>546</v>
      </c>
      <c r="B9" s="66" t="s">
        <v>546</v>
      </c>
      <c r="C9" s="84" t="s">
        <v>538</v>
      </c>
      <c r="D9" s="94">
        <v>5</v>
      </c>
      <c r="E9" s="84"/>
      <c r="F9" s="96">
        <v>50</v>
      </c>
      <c r="G9" s="84"/>
      <c r="H9" s="82"/>
      <c r="I9" s="97"/>
      <c r="J9" s="97"/>
      <c r="K9" s="35" t="s">
        <v>65</v>
      </c>
      <c r="L9" s="98">
        <v>9</v>
      </c>
      <c r="M9" s="98"/>
      <c r="N9" s="99"/>
      <c r="O9" s="68" t="s">
        <v>218</v>
      </c>
      <c r="P9" s="70">
        <v>44693.74055555555</v>
      </c>
      <c r="Q9" s="68" t="s">
        <v>657</v>
      </c>
      <c r="R9" s="68"/>
      <c r="S9" s="68"/>
      <c r="T9" s="68"/>
      <c r="U9" s="68"/>
      <c r="V9" s="72" t="str">
        <f>HYPERLINK("https://pbs.twimg.com/profile_images/1427746641507926017/U0lqvD2s_normal.jpg")</f>
        <v>https://pbs.twimg.com/profile_images/1427746641507926017/U0lqvD2s_normal.jpg</v>
      </c>
      <c r="W9" s="70">
        <v>44693.74055555555</v>
      </c>
      <c r="X9" s="75">
        <v>44693</v>
      </c>
      <c r="Y9" s="73" t="s">
        <v>727</v>
      </c>
      <c r="Z9" s="72" t="str">
        <f>HYPERLINK("https://twitter.com/matthewprimous/status/1524808223693447168")</f>
        <v>https://twitter.com/matthewprimous/status/1524808223693447168</v>
      </c>
      <c r="AA9" s="68"/>
      <c r="AB9" s="68"/>
      <c r="AC9" s="73" t="s">
        <v>830</v>
      </c>
      <c r="AD9" s="68"/>
      <c r="AE9" s="68" t="b">
        <v>0</v>
      </c>
      <c r="AF9" s="68">
        <v>0</v>
      </c>
      <c r="AG9" s="73" t="s">
        <v>282</v>
      </c>
      <c r="AH9" s="68" t="b">
        <v>0</v>
      </c>
      <c r="AI9" s="68" t="s">
        <v>283</v>
      </c>
      <c r="AJ9" s="68"/>
      <c r="AK9" s="73" t="s">
        <v>282</v>
      </c>
      <c r="AL9" s="68" t="b">
        <v>0</v>
      </c>
      <c r="AM9" s="68">
        <v>0</v>
      </c>
      <c r="AN9" s="73" t="s">
        <v>282</v>
      </c>
      <c r="AO9" s="73" t="s">
        <v>285</v>
      </c>
      <c r="AP9" s="68" t="b">
        <v>0</v>
      </c>
      <c r="AQ9" s="73" t="s">
        <v>830</v>
      </c>
      <c r="AR9" s="68" t="s">
        <v>218</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5</v>
      </c>
      <c r="BG9" s="50">
        <v>12.820512820512821</v>
      </c>
      <c r="BH9" s="49">
        <v>0</v>
      </c>
      <c r="BI9" s="50">
        <v>0</v>
      </c>
      <c r="BJ9" s="49">
        <v>0</v>
      </c>
      <c r="BK9" s="50">
        <v>0</v>
      </c>
      <c r="BL9" s="49">
        <v>34</v>
      </c>
      <c r="BM9" s="50">
        <v>87.17948717948718</v>
      </c>
      <c r="BN9" s="49">
        <v>39</v>
      </c>
    </row>
    <row r="10" spans="1:66" ht="15">
      <c r="A10" s="66" t="s">
        <v>547</v>
      </c>
      <c r="B10" s="66" t="s">
        <v>547</v>
      </c>
      <c r="C10" s="84" t="s">
        <v>538</v>
      </c>
      <c r="D10" s="94">
        <v>5</v>
      </c>
      <c r="E10" s="84"/>
      <c r="F10" s="96">
        <v>50</v>
      </c>
      <c r="G10" s="84"/>
      <c r="H10" s="82"/>
      <c r="I10" s="97"/>
      <c r="J10" s="97"/>
      <c r="K10" s="35" t="s">
        <v>65</v>
      </c>
      <c r="L10" s="98">
        <v>10</v>
      </c>
      <c r="M10" s="98"/>
      <c r="N10" s="99"/>
      <c r="O10" s="68" t="s">
        <v>218</v>
      </c>
      <c r="P10" s="70">
        <v>44694.40222222222</v>
      </c>
      <c r="Q10" s="68" t="s">
        <v>658</v>
      </c>
      <c r="R10" s="72" t="str">
        <f>HYPERLINK("https://unglobalcompact.org/take-action/climate-ambition-accelerator")</f>
        <v>https://unglobalcompact.org/take-action/climate-ambition-accelerator</v>
      </c>
      <c r="S10" s="68" t="s">
        <v>700</v>
      </c>
      <c r="T10" s="73" t="s">
        <v>709</v>
      </c>
      <c r="U10" s="72" t="str">
        <f>HYPERLINK("https://pbs.twimg.com/media/FSoKs7dWAAEQKg0.jpg")</f>
        <v>https://pbs.twimg.com/media/FSoKs7dWAAEQKg0.jpg</v>
      </c>
      <c r="V10" s="72" t="str">
        <f>HYPERLINK("https://pbs.twimg.com/media/FSoKs7dWAAEQKg0.jpg")</f>
        <v>https://pbs.twimg.com/media/FSoKs7dWAAEQKg0.jpg</v>
      </c>
      <c r="W10" s="70">
        <v>44694.40222222222</v>
      </c>
      <c r="X10" s="75">
        <v>44694</v>
      </c>
      <c r="Y10" s="73" t="s">
        <v>728</v>
      </c>
      <c r="Z10" s="72" t="str">
        <f>HYPERLINK("https://twitter.com/globalcompactsa/status/1525048001345073153")</f>
        <v>https://twitter.com/globalcompactsa/status/1525048001345073153</v>
      </c>
      <c r="AA10" s="68"/>
      <c r="AB10" s="68"/>
      <c r="AC10" s="73" t="s">
        <v>831</v>
      </c>
      <c r="AD10" s="68"/>
      <c r="AE10" s="68" t="b">
        <v>0</v>
      </c>
      <c r="AF10" s="68">
        <v>1</v>
      </c>
      <c r="AG10" s="73" t="s">
        <v>282</v>
      </c>
      <c r="AH10" s="68" t="b">
        <v>0</v>
      </c>
      <c r="AI10" s="68" t="s">
        <v>283</v>
      </c>
      <c r="AJ10" s="68"/>
      <c r="AK10" s="73" t="s">
        <v>282</v>
      </c>
      <c r="AL10" s="68" t="b">
        <v>0</v>
      </c>
      <c r="AM10" s="68">
        <v>0</v>
      </c>
      <c r="AN10" s="73" t="s">
        <v>282</v>
      </c>
      <c r="AO10" s="73" t="s">
        <v>285</v>
      </c>
      <c r="AP10" s="68" t="b">
        <v>0</v>
      </c>
      <c r="AQ10" s="73" t="s">
        <v>831</v>
      </c>
      <c r="AR10" s="68" t="s">
        <v>218</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2</v>
      </c>
      <c r="BF10" s="49">
        <v>0</v>
      </c>
      <c r="BG10" s="50">
        <v>0</v>
      </c>
      <c r="BH10" s="49">
        <v>0</v>
      </c>
      <c r="BI10" s="50">
        <v>0</v>
      </c>
      <c r="BJ10" s="49">
        <v>0</v>
      </c>
      <c r="BK10" s="50">
        <v>0</v>
      </c>
      <c r="BL10" s="49">
        <v>35</v>
      </c>
      <c r="BM10" s="50">
        <v>100</v>
      </c>
      <c r="BN10" s="49">
        <v>35</v>
      </c>
    </row>
    <row r="11" spans="1:66" ht="15">
      <c r="A11" s="66" t="s">
        <v>548</v>
      </c>
      <c r="B11" s="66" t="s">
        <v>548</v>
      </c>
      <c r="C11" s="84" t="s">
        <v>538</v>
      </c>
      <c r="D11" s="94">
        <v>5</v>
      </c>
      <c r="E11" s="84"/>
      <c r="F11" s="96">
        <v>50</v>
      </c>
      <c r="G11" s="84"/>
      <c r="H11" s="82"/>
      <c r="I11" s="97"/>
      <c r="J11" s="97"/>
      <c r="K11" s="35" t="s">
        <v>65</v>
      </c>
      <c r="L11" s="98">
        <v>11</v>
      </c>
      <c r="M11" s="98"/>
      <c r="N11" s="99"/>
      <c r="O11" s="68" t="s">
        <v>218</v>
      </c>
      <c r="P11" s="70">
        <v>44694.41743055556</v>
      </c>
      <c r="Q11" s="68" t="s">
        <v>659</v>
      </c>
      <c r="R11" s="72" t="str">
        <f>HYPERLINK("https://lawlerconsulting.com/your-road-to-net-zero-in-2022/")</f>
        <v>https://lawlerconsulting.com/your-road-to-net-zero-in-2022/</v>
      </c>
      <c r="S11" s="68" t="s">
        <v>701</v>
      </c>
      <c r="T11" s="73" t="s">
        <v>710</v>
      </c>
      <c r="U11" s="72" t="str">
        <f>HYPERLINK("https://pbs.twimg.com/ext_tw_video_thumb/1525053484244078592/pu/img/Ukhjqo7RuwpHY3vW.jpg")</f>
        <v>https://pbs.twimg.com/ext_tw_video_thumb/1525053484244078592/pu/img/Ukhjqo7RuwpHY3vW.jpg</v>
      </c>
      <c r="V11" s="72" t="str">
        <f>HYPERLINK("https://pbs.twimg.com/ext_tw_video_thumb/1525053484244078592/pu/img/Ukhjqo7RuwpHY3vW.jpg")</f>
        <v>https://pbs.twimg.com/ext_tw_video_thumb/1525053484244078592/pu/img/Ukhjqo7RuwpHY3vW.jpg</v>
      </c>
      <c r="W11" s="70">
        <v>44694.41743055556</v>
      </c>
      <c r="X11" s="75">
        <v>44694</v>
      </c>
      <c r="Y11" s="73" t="s">
        <v>729</v>
      </c>
      <c r="Z11" s="72" t="str">
        <f>HYPERLINK("https://twitter.com/lawler_consult/status/1525053515269386241")</f>
        <v>https://twitter.com/lawler_consult/status/1525053515269386241</v>
      </c>
      <c r="AA11" s="68"/>
      <c r="AB11" s="68"/>
      <c r="AC11" s="73" t="s">
        <v>832</v>
      </c>
      <c r="AD11" s="68"/>
      <c r="AE11" s="68" t="b">
        <v>0</v>
      </c>
      <c r="AF11" s="68">
        <v>0</v>
      </c>
      <c r="AG11" s="73" t="s">
        <v>282</v>
      </c>
      <c r="AH11" s="68" t="b">
        <v>0</v>
      </c>
      <c r="AI11" s="68" t="s">
        <v>283</v>
      </c>
      <c r="AJ11" s="68"/>
      <c r="AK11" s="73" t="s">
        <v>282</v>
      </c>
      <c r="AL11" s="68" t="b">
        <v>0</v>
      </c>
      <c r="AM11" s="68">
        <v>0</v>
      </c>
      <c r="AN11" s="73" t="s">
        <v>282</v>
      </c>
      <c r="AO11" s="73" t="s">
        <v>948</v>
      </c>
      <c r="AP11" s="68" t="b">
        <v>0</v>
      </c>
      <c r="AQ11" s="73" t="s">
        <v>832</v>
      </c>
      <c r="AR11" s="68" t="s">
        <v>218</v>
      </c>
      <c r="AS11" s="68">
        <v>0</v>
      </c>
      <c r="AT11" s="68">
        <v>0</v>
      </c>
      <c r="AU11" s="68"/>
      <c r="AV11" s="68"/>
      <c r="AW11" s="68"/>
      <c r="AX11" s="68"/>
      <c r="AY11" s="68"/>
      <c r="AZ11" s="68"/>
      <c r="BA11" s="68"/>
      <c r="BB11" s="68"/>
      <c r="BC11" s="68">
        <v>1</v>
      </c>
      <c r="BD11" s="67" t="str">
        <f>REPLACE(INDEX(GroupVertices[Group],MATCH(Edges[[#This Row],[Vertex 1]],GroupVertices[Vertex],0)),1,1,"")</f>
        <v>2</v>
      </c>
      <c r="BE11" s="67" t="str">
        <f>REPLACE(INDEX(GroupVertices[Group],MATCH(Edges[[#This Row],[Vertex 2]],GroupVertices[Vertex],0)),1,1,"")</f>
        <v>2</v>
      </c>
      <c r="BF11" s="49">
        <v>0</v>
      </c>
      <c r="BG11" s="50">
        <v>0</v>
      </c>
      <c r="BH11" s="49">
        <v>0</v>
      </c>
      <c r="BI11" s="50">
        <v>0</v>
      </c>
      <c r="BJ11" s="49">
        <v>0</v>
      </c>
      <c r="BK11" s="50">
        <v>0</v>
      </c>
      <c r="BL11" s="49">
        <v>43</v>
      </c>
      <c r="BM11" s="50">
        <v>100</v>
      </c>
      <c r="BN11" s="49">
        <v>43</v>
      </c>
    </row>
    <row r="12" spans="1:66" ht="15">
      <c r="A12" s="66" t="s">
        <v>549</v>
      </c>
      <c r="B12" s="66" t="s">
        <v>639</v>
      </c>
      <c r="C12" s="84" t="s">
        <v>538</v>
      </c>
      <c r="D12" s="94">
        <v>5</v>
      </c>
      <c r="E12" s="84"/>
      <c r="F12" s="96">
        <v>50</v>
      </c>
      <c r="G12" s="84"/>
      <c r="H12" s="82"/>
      <c r="I12" s="97"/>
      <c r="J12" s="97"/>
      <c r="K12" s="35" t="s">
        <v>65</v>
      </c>
      <c r="L12" s="98">
        <v>12</v>
      </c>
      <c r="M12" s="98"/>
      <c r="N12" s="99"/>
      <c r="O12" s="68" t="s">
        <v>263</v>
      </c>
      <c r="P12" s="70">
        <v>44694.577465277776</v>
      </c>
      <c r="Q12" s="68" t="s">
        <v>660</v>
      </c>
      <c r="R12" s="72" t="str">
        <f>HYPERLINK("https://twitter.com/IATA/status/1525109197192429568")</f>
        <v>https://twitter.com/IATA/status/1525109197192429568</v>
      </c>
      <c r="S12" s="68" t="s">
        <v>702</v>
      </c>
      <c r="T12" s="68"/>
      <c r="U12" s="68"/>
      <c r="V12" s="72" t="str">
        <f>HYPERLINK("https://pbs.twimg.com/profile_images/1237189879114674176/bNuhtQ-a_normal.jpg")</f>
        <v>https://pbs.twimg.com/profile_images/1237189879114674176/bNuhtQ-a_normal.jpg</v>
      </c>
      <c r="W12" s="70">
        <v>44694.577465277776</v>
      </c>
      <c r="X12" s="75">
        <v>44694</v>
      </c>
      <c r="Y12" s="73" t="s">
        <v>730</v>
      </c>
      <c r="Z12" s="72" t="str">
        <f>HYPERLINK("https://twitter.com/michaelpolanyi/status/1525111510095339520")</f>
        <v>https://twitter.com/michaelpolanyi/status/1525111510095339520</v>
      </c>
      <c r="AA12" s="68"/>
      <c r="AB12" s="68"/>
      <c r="AC12" s="73" t="s">
        <v>833</v>
      </c>
      <c r="AD12" s="68"/>
      <c r="AE12" s="68" t="b">
        <v>0</v>
      </c>
      <c r="AF12" s="68">
        <v>1</v>
      </c>
      <c r="AG12" s="73" t="s">
        <v>282</v>
      </c>
      <c r="AH12" s="68" t="b">
        <v>1</v>
      </c>
      <c r="AI12" s="68" t="s">
        <v>283</v>
      </c>
      <c r="AJ12" s="68"/>
      <c r="AK12" s="73" t="s">
        <v>942</v>
      </c>
      <c r="AL12" s="68" t="b">
        <v>0</v>
      </c>
      <c r="AM12" s="68">
        <v>0</v>
      </c>
      <c r="AN12" s="73" t="s">
        <v>282</v>
      </c>
      <c r="AO12" s="73" t="s">
        <v>285</v>
      </c>
      <c r="AP12" s="68" t="b">
        <v>0</v>
      </c>
      <c r="AQ12" s="73" t="s">
        <v>833</v>
      </c>
      <c r="AR12" s="68" t="s">
        <v>218</v>
      </c>
      <c r="AS12" s="68">
        <v>0</v>
      </c>
      <c r="AT12" s="68">
        <v>0</v>
      </c>
      <c r="AU12" s="68"/>
      <c r="AV12" s="68"/>
      <c r="AW12" s="68"/>
      <c r="AX12" s="68"/>
      <c r="AY12" s="68"/>
      <c r="AZ12" s="68"/>
      <c r="BA12" s="68"/>
      <c r="BB12" s="68"/>
      <c r="BC12" s="68">
        <v>1</v>
      </c>
      <c r="BD12" s="67" t="str">
        <f>REPLACE(INDEX(GroupVertices[Group],MATCH(Edges[[#This Row],[Vertex 1]],GroupVertices[Vertex],0)),1,1,"")</f>
        <v>22</v>
      </c>
      <c r="BE12" s="67" t="str">
        <f>REPLACE(INDEX(GroupVertices[Group],MATCH(Edges[[#This Row],[Vertex 2]],GroupVertices[Vertex],0)),1,1,"")</f>
        <v>22</v>
      </c>
      <c r="BF12" s="49">
        <v>0</v>
      </c>
      <c r="BG12" s="50">
        <v>0</v>
      </c>
      <c r="BH12" s="49">
        <v>1</v>
      </c>
      <c r="BI12" s="50">
        <v>3.7037037037037037</v>
      </c>
      <c r="BJ12" s="49">
        <v>0</v>
      </c>
      <c r="BK12" s="50">
        <v>0</v>
      </c>
      <c r="BL12" s="49">
        <v>26</v>
      </c>
      <c r="BM12" s="50">
        <v>96.29629629629629</v>
      </c>
      <c r="BN12" s="49">
        <v>27</v>
      </c>
    </row>
    <row r="13" spans="1:66" ht="15">
      <c r="A13" s="66" t="s">
        <v>550</v>
      </c>
      <c r="B13" s="66" t="s">
        <v>550</v>
      </c>
      <c r="C13" s="84" t="s">
        <v>538</v>
      </c>
      <c r="D13" s="94">
        <v>5</v>
      </c>
      <c r="E13" s="84"/>
      <c r="F13" s="96">
        <v>50</v>
      </c>
      <c r="G13" s="84"/>
      <c r="H13" s="82"/>
      <c r="I13" s="97"/>
      <c r="J13" s="97"/>
      <c r="K13" s="35" t="s">
        <v>65</v>
      </c>
      <c r="L13" s="98">
        <v>13</v>
      </c>
      <c r="M13" s="98"/>
      <c r="N13" s="99"/>
      <c r="O13" s="68" t="s">
        <v>218</v>
      </c>
      <c r="P13" s="70">
        <v>44694.71192129629</v>
      </c>
      <c r="Q13" s="68" t="s">
        <v>661</v>
      </c>
      <c r="R13" s="72" t="str">
        <f>HYPERLINK("https://www.stuff.co.nz/national/politics/opinion/128635128/the-new-emission-reduction-plan-will-reveal-just-how-much-we-care-about-climate.html?utm_source=dlvr.it&amp;utm_medium=twitter")</f>
        <v>https://www.stuff.co.nz/national/politics/opinion/128635128/the-new-emission-reduction-plan-will-reveal-just-how-much-we-care-about-climate.html?utm_source=dlvr.it&amp;utm_medium=twitter</v>
      </c>
      <c r="S13" s="68" t="s">
        <v>269</v>
      </c>
      <c r="T13" s="68"/>
      <c r="U13" s="68"/>
      <c r="V13" s="72" t="str">
        <f>HYPERLINK("https://pbs.twimg.com/profile_images/740645735452925952/Du900SbT_normal.jpg")</f>
        <v>https://pbs.twimg.com/profile_images/740645735452925952/Du900SbT_normal.jpg</v>
      </c>
      <c r="W13" s="70">
        <v>44694.71192129629</v>
      </c>
      <c r="X13" s="75">
        <v>44694</v>
      </c>
      <c r="Y13" s="73" t="s">
        <v>731</v>
      </c>
      <c r="Z13" s="72" t="str">
        <f>HYPERLINK("https://twitter.com/nzstuffpolitics/status/1525160235521806336")</f>
        <v>https://twitter.com/nzstuffpolitics/status/1525160235521806336</v>
      </c>
      <c r="AA13" s="68"/>
      <c r="AB13" s="68"/>
      <c r="AC13" s="73" t="s">
        <v>834</v>
      </c>
      <c r="AD13" s="68"/>
      <c r="AE13" s="68" t="b">
        <v>0</v>
      </c>
      <c r="AF13" s="68">
        <v>0</v>
      </c>
      <c r="AG13" s="73" t="s">
        <v>282</v>
      </c>
      <c r="AH13" s="68" t="b">
        <v>0</v>
      </c>
      <c r="AI13" s="68" t="s">
        <v>283</v>
      </c>
      <c r="AJ13" s="68"/>
      <c r="AK13" s="73" t="s">
        <v>282</v>
      </c>
      <c r="AL13" s="68" t="b">
        <v>0</v>
      </c>
      <c r="AM13" s="68">
        <v>0</v>
      </c>
      <c r="AN13" s="73" t="s">
        <v>282</v>
      </c>
      <c r="AO13" s="73" t="s">
        <v>949</v>
      </c>
      <c r="AP13" s="68" t="b">
        <v>0</v>
      </c>
      <c r="AQ13" s="73" t="s">
        <v>834</v>
      </c>
      <c r="AR13" s="68" t="s">
        <v>218</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0</v>
      </c>
      <c r="BI13" s="50">
        <v>0</v>
      </c>
      <c r="BJ13" s="49">
        <v>0</v>
      </c>
      <c r="BK13" s="50">
        <v>0</v>
      </c>
      <c r="BL13" s="49">
        <v>28</v>
      </c>
      <c r="BM13" s="50">
        <v>100</v>
      </c>
      <c r="BN13" s="49">
        <v>28</v>
      </c>
    </row>
    <row r="14" spans="1:66" ht="15">
      <c r="A14" s="66" t="s">
        <v>551</v>
      </c>
      <c r="B14" s="66" t="s">
        <v>551</v>
      </c>
      <c r="C14" s="84" t="s">
        <v>538</v>
      </c>
      <c r="D14" s="94">
        <v>5</v>
      </c>
      <c r="E14" s="84"/>
      <c r="F14" s="96">
        <v>50</v>
      </c>
      <c r="G14" s="84"/>
      <c r="H14" s="82"/>
      <c r="I14" s="97"/>
      <c r="J14" s="97"/>
      <c r="K14" s="35" t="s">
        <v>65</v>
      </c>
      <c r="L14" s="98">
        <v>14</v>
      </c>
      <c r="M14" s="98"/>
      <c r="N14" s="99"/>
      <c r="O14" s="68" t="s">
        <v>218</v>
      </c>
      <c r="P14" s="70">
        <v>44694.784583333334</v>
      </c>
      <c r="Q14" s="68" t="s">
        <v>662</v>
      </c>
      <c r="R14" s="68"/>
      <c r="S14" s="68"/>
      <c r="T14" s="68"/>
      <c r="U14" s="68"/>
      <c r="V14" s="72" t="str">
        <f>HYPERLINK("https://pbs.twimg.com/profile_images/1287525164721217536/ityBBCEJ_normal.jpg")</f>
        <v>https://pbs.twimg.com/profile_images/1287525164721217536/ityBBCEJ_normal.jpg</v>
      </c>
      <c r="W14" s="70">
        <v>44694.784583333334</v>
      </c>
      <c r="X14" s="75">
        <v>44694</v>
      </c>
      <c r="Y14" s="73" t="s">
        <v>732</v>
      </c>
      <c r="Z14" s="72" t="str">
        <f>HYPERLINK("https://twitter.com/falconseaknight/status/1525186567442006016")</f>
        <v>https://twitter.com/falconseaknight/status/1525186567442006016</v>
      </c>
      <c r="AA14" s="68"/>
      <c r="AB14" s="68"/>
      <c r="AC14" s="73" t="s">
        <v>835</v>
      </c>
      <c r="AD14" s="73" t="s">
        <v>929</v>
      </c>
      <c r="AE14" s="68" t="b">
        <v>0</v>
      </c>
      <c r="AF14" s="68">
        <v>0</v>
      </c>
      <c r="AG14" s="73" t="s">
        <v>935</v>
      </c>
      <c r="AH14" s="68" t="b">
        <v>0</v>
      </c>
      <c r="AI14" s="68" t="s">
        <v>283</v>
      </c>
      <c r="AJ14" s="68"/>
      <c r="AK14" s="73" t="s">
        <v>282</v>
      </c>
      <c r="AL14" s="68" t="b">
        <v>0</v>
      </c>
      <c r="AM14" s="68">
        <v>0</v>
      </c>
      <c r="AN14" s="73" t="s">
        <v>282</v>
      </c>
      <c r="AO14" s="73" t="s">
        <v>284</v>
      </c>
      <c r="AP14" s="68" t="b">
        <v>0</v>
      </c>
      <c r="AQ14" s="73" t="s">
        <v>929</v>
      </c>
      <c r="AR14" s="68" t="s">
        <v>218</v>
      </c>
      <c r="AS14" s="68">
        <v>0</v>
      </c>
      <c r="AT14" s="68">
        <v>0</v>
      </c>
      <c r="AU14" s="68"/>
      <c r="AV14" s="68"/>
      <c r="AW14" s="68"/>
      <c r="AX14" s="68"/>
      <c r="AY14" s="68"/>
      <c r="AZ14" s="68"/>
      <c r="BA14" s="68"/>
      <c r="BB14" s="68"/>
      <c r="BC14" s="68">
        <v>1</v>
      </c>
      <c r="BD14" s="67" t="str">
        <f>REPLACE(INDEX(GroupVertices[Group],MATCH(Edges[[#This Row],[Vertex 1]],GroupVertices[Vertex],0)),1,1,"")</f>
        <v>2</v>
      </c>
      <c r="BE14" s="67" t="str">
        <f>REPLACE(INDEX(GroupVertices[Group],MATCH(Edges[[#This Row],[Vertex 2]],GroupVertices[Vertex],0)),1,1,"")</f>
        <v>2</v>
      </c>
      <c r="BF14" s="49">
        <v>0</v>
      </c>
      <c r="BG14" s="50">
        <v>0</v>
      </c>
      <c r="BH14" s="49">
        <v>2</v>
      </c>
      <c r="BI14" s="50">
        <v>4.545454545454546</v>
      </c>
      <c r="BJ14" s="49">
        <v>0</v>
      </c>
      <c r="BK14" s="50">
        <v>0</v>
      </c>
      <c r="BL14" s="49">
        <v>42</v>
      </c>
      <c r="BM14" s="50">
        <v>95.45454545454545</v>
      </c>
      <c r="BN14" s="49">
        <v>44</v>
      </c>
    </row>
    <row r="15" spans="1:66" ht="15">
      <c r="A15" s="66" t="s">
        <v>552</v>
      </c>
      <c r="B15" s="66" t="s">
        <v>552</v>
      </c>
      <c r="C15" s="84" t="s">
        <v>538</v>
      </c>
      <c r="D15" s="94">
        <v>5</v>
      </c>
      <c r="E15" s="84"/>
      <c r="F15" s="96">
        <v>50</v>
      </c>
      <c r="G15" s="84"/>
      <c r="H15" s="82"/>
      <c r="I15" s="97"/>
      <c r="J15" s="97"/>
      <c r="K15" s="35" t="s">
        <v>65</v>
      </c>
      <c r="L15" s="98">
        <v>15</v>
      </c>
      <c r="M15" s="98"/>
      <c r="N15" s="99"/>
      <c r="O15" s="68" t="s">
        <v>218</v>
      </c>
      <c r="P15" s="70">
        <v>44694.916493055556</v>
      </c>
      <c r="Q15" s="68" t="s">
        <v>663</v>
      </c>
      <c r="R15" s="68"/>
      <c r="S15" s="68"/>
      <c r="T15" s="68"/>
      <c r="U15" s="72" t="str">
        <f>HYPERLINK("https://pbs.twimg.com/media/FSq4kzxaQAArdKu.jpg")</f>
        <v>https://pbs.twimg.com/media/FSq4kzxaQAArdKu.jpg</v>
      </c>
      <c r="V15" s="72" t="str">
        <f>HYPERLINK("https://pbs.twimg.com/media/FSq4kzxaQAArdKu.jpg")</f>
        <v>https://pbs.twimg.com/media/FSq4kzxaQAArdKu.jpg</v>
      </c>
      <c r="W15" s="70">
        <v>44694.916493055556</v>
      </c>
      <c r="X15" s="75">
        <v>44694</v>
      </c>
      <c r="Y15" s="73" t="s">
        <v>733</v>
      </c>
      <c r="Z15" s="72" t="str">
        <f>HYPERLINK("https://twitter.com/annacwhyte/status/1525234369430179840")</f>
        <v>https://twitter.com/annacwhyte/status/1525234369430179840</v>
      </c>
      <c r="AA15" s="68"/>
      <c r="AB15" s="68"/>
      <c r="AC15" s="73" t="s">
        <v>836</v>
      </c>
      <c r="AD15" s="73" t="s">
        <v>930</v>
      </c>
      <c r="AE15" s="68" t="b">
        <v>0</v>
      </c>
      <c r="AF15" s="68">
        <v>1</v>
      </c>
      <c r="AG15" s="73" t="s">
        <v>936</v>
      </c>
      <c r="AH15" s="68" t="b">
        <v>0</v>
      </c>
      <c r="AI15" s="68" t="s">
        <v>283</v>
      </c>
      <c r="AJ15" s="68"/>
      <c r="AK15" s="73" t="s">
        <v>282</v>
      </c>
      <c r="AL15" s="68" t="b">
        <v>0</v>
      </c>
      <c r="AM15" s="68">
        <v>0</v>
      </c>
      <c r="AN15" s="73" t="s">
        <v>282</v>
      </c>
      <c r="AO15" s="73" t="s">
        <v>947</v>
      </c>
      <c r="AP15" s="68" t="b">
        <v>0</v>
      </c>
      <c r="AQ15" s="73" t="s">
        <v>930</v>
      </c>
      <c r="AR15" s="68" t="s">
        <v>218</v>
      </c>
      <c r="AS15" s="68">
        <v>0</v>
      </c>
      <c r="AT15" s="68">
        <v>0</v>
      </c>
      <c r="AU15" s="68"/>
      <c r="AV15" s="68"/>
      <c r="AW15" s="68"/>
      <c r="AX15" s="68"/>
      <c r="AY15" s="68"/>
      <c r="AZ15" s="68"/>
      <c r="BA15" s="68"/>
      <c r="BB15" s="68"/>
      <c r="BC15" s="68">
        <v>1</v>
      </c>
      <c r="BD15" s="67" t="str">
        <f>REPLACE(INDEX(GroupVertices[Group],MATCH(Edges[[#This Row],[Vertex 1]],GroupVertices[Vertex],0)),1,1,"")</f>
        <v>2</v>
      </c>
      <c r="BE15" s="67" t="str">
        <f>REPLACE(INDEX(GroupVertices[Group],MATCH(Edges[[#This Row],[Vertex 2]],GroupVertices[Vertex],0)),1,1,"")</f>
        <v>2</v>
      </c>
      <c r="BF15" s="49">
        <v>0</v>
      </c>
      <c r="BG15" s="50">
        <v>0</v>
      </c>
      <c r="BH15" s="49">
        <v>0</v>
      </c>
      <c r="BI15" s="50">
        <v>0</v>
      </c>
      <c r="BJ15" s="49">
        <v>0</v>
      </c>
      <c r="BK15" s="50">
        <v>0</v>
      </c>
      <c r="BL15" s="49">
        <v>21</v>
      </c>
      <c r="BM15" s="50">
        <v>100</v>
      </c>
      <c r="BN15" s="49">
        <v>21</v>
      </c>
    </row>
    <row r="16" spans="1:66" ht="15">
      <c r="A16" s="66" t="s">
        <v>553</v>
      </c>
      <c r="B16" s="66" t="s">
        <v>553</v>
      </c>
      <c r="C16" s="84" t="s">
        <v>538</v>
      </c>
      <c r="D16" s="94">
        <v>5</v>
      </c>
      <c r="E16" s="84"/>
      <c r="F16" s="96">
        <v>50</v>
      </c>
      <c r="G16" s="84"/>
      <c r="H16" s="82"/>
      <c r="I16" s="97"/>
      <c r="J16" s="97"/>
      <c r="K16" s="35" t="s">
        <v>65</v>
      </c>
      <c r="L16" s="98">
        <v>16</v>
      </c>
      <c r="M16" s="98"/>
      <c r="N16" s="99"/>
      <c r="O16" s="68" t="s">
        <v>218</v>
      </c>
      <c r="P16" s="70">
        <v>44695.12201388889</v>
      </c>
      <c r="Q16" s="68" t="s">
        <v>664</v>
      </c>
      <c r="R16" s="72" t="str">
        <f>HYPERLINK("https://www.stuff.co.nz/national/politics/opinion/128635128/the-new-emission-reduction-plan-will-reveal-just-how-much-we-care-about-climate")</f>
        <v>https://www.stuff.co.nz/national/politics/opinion/128635128/the-new-emission-reduction-plan-will-reveal-just-how-much-we-care-about-climate</v>
      </c>
      <c r="S16" s="68" t="s">
        <v>269</v>
      </c>
      <c r="T16" s="68"/>
      <c r="U16" s="68"/>
      <c r="V16" s="72" t="str">
        <f>HYPERLINK("https://pbs.twimg.com/profile_images/1479682990871511041/ZLjodGMW_normal.jpg")</f>
        <v>https://pbs.twimg.com/profile_images/1479682990871511041/ZLjodGMW_normal.jpg</v>
      </c>
      <c r="W16" s="70">
        <v>44695.12201388889</v>
      </c>
      <c r="X16" s="75">
        <v>44695</v>
      </c>
      <c r="Y16" s="73" t="s">
        <v>734</v>
      </c>
      <c r="Z16" s="72" t="str">
        <f>HYPERLINK("https://twitter.com/ddub_news/status/1525308847032012800")</f>
        <v>https://twitter.com/ddub_news/status/1525308847032012800</v>
      </c>
      <c r="AA16" s="68"/>
      <c r="AB16" s="68"/>
      <c r="AC16" s="73" t="s">
        <v>837</v>
      </c>
      <c r="AD16" s="68"/>
      <c r="AE16" s="68" t="b">
        <v>0</v>
      </c>
      <c r="AF16" s="68">
        <v>0</v>
      </c>
      <c r="AG16" s="73" t="s">
        <v>282</v>
      </c>
      <c r="AH16" s="68" t="b">
        <v>0</v>
      </c>
      <c r="AI16" s="68" t="s">
        <v>283</v>
      </c>
      <c r="AJ16" s="68"/>
      <c r="AK16" s="73" t="s">
        <v>282</v>
      </c>
      <c r="AL16" s="68" t="b">
        <v>0</v>
      </c>
      <c r="AM16" s="68">
        <v>0</v>
      </c>
      <c r="AN16" s="73" t="s">
        <v>282</v>
      </c>
      <c r="AO16" s="73" t="s">
        <v>285</v>
      </c>
      <c r="AP16" s="68" t="b">
        <v>0</v>
      </c>
      <c r="AQ16" s="73" t="s">
        <v>837</v>
      </c>
      <c r="AR16" s="68" t="s">
        <v>218</v>
      </c>
      <c r="AS16" s="68">
        <v>0</v>
      </c>
      <c r="AT16" s="68">
        <v>0</v>
      </c>
      <c r="AU16" s="68"/>
      <c r="AV16" s="68"/>
      <c r="AW16" s="68"/>
      <c r="AX16" s="68"/>
      <c r="AY16" s="68"/>
      <c r="AZ16" s="68"/>
      <c r="BA16" s="68"/>
      <c r="BB16" s="68"/>
      <c r="BC16" s="68">
        <v>1</v>
      </c>
      <c r="BD16" s="67" t="str">
        <f>REPLACE(INDEX(GroupVertices[Group],MATCH(Edges[[#This Row],[Vertex 1]],GroupVertices[Vertex],0)),1,1,"")</f>
        <v>2</v>
      </c>
      <c r="BE16" s="67" t="str">
        <f>REPLACE(INDEX(GroupVertices[Group],MATCH(Edges[[#This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6" t="s">
        <v>554</v>
      </c>
      <c r="B17" s="66" t="s">
        <v>640</v>
      </c>
      <c r="C17" s="84" t="s">
        <v>538</v>
      </c>
      <c r="D17" s="94">
        <v>5</v>
      </c>
      <c r="E17" s="84"/>
      <c r="F17" s="96">
        <v>50</v>
      </c>
      <c r="G17" s="84"/>
      <c r="H17" s="82"/>
      <c r="I17" s="97"/>
      <c r="J17" s="97"/>
      <c r="K17" s="35" t="s">
        <v>65</v>
      </c>
      <c r="L17" s="98">
        <v>17</v>
      </c>
      <c r="M17" s="98"/>
      <c r="N17" s="99"/>
      <c r="O17" s="68" t="s">
        <v>264</v>
      </c>
      <c r="P17" s="70">
        <v>44695.99466435185</v>
      </c>
      <c r="Q17" s="68" t="s">
        <v>665</v>
      </c>
      <c r="R17" s="68"/>
      <c r="S17" s="68"/>
      <c r="T17" s="73" t="s">
        <v>711</v>
      </c>
      <c r="U17" s="72" t="str">
        <f>HYPERLINK("https://pbs.twimg.com/amplify_video_thumb/1525624009236582400/img/pkRqNLkArsbX7wZC.jpg")</f>
        <v>https://pbs.twimg.com/amplify_video_thumb/1525624009236582400/img/pkRqNLkArsbX7wZC.jpg</v>
      </c>
      <c r="V17" s="72" t="str">
        <f>HYPERLINK("https://pbs.twimg.com/amplify_video_thumb/1525624009236582400/img/pkRqNLkArsbX7wZC.jpg")</f>
        <v>https://pbs.twimg.com/amplify_video_thumb/1525624009236582400/img/pkRqNLkArsbX7wZC.jpg</v>
      </c>
      <c r="W17" s="70">
        <v>44695.99466435185</v>
      </c>
      <c r="X17" s="75">
        <v>44695</v>
      </c>
      <c r="Y17" s="73" t="s">
        <v>735</v>
      </c>
      <c r="Z17" s="72" t="str">
        <f>HYPERLINK("https://twitter.com/peggymel2001/status/1525625085037793281")</f>
        <v>https://twitter.com/peggymel2001/status/1525625085037793281</v>
      </c>
      <c r="AA17" s="68"/>
      <c r="AB17" s="68"/>
      <c r="AC17" s="73" t="s">
        <v>838</v>
      </c>
      <c r="AD17" s="68"/>
      <c r="AE17" s="68" t="b">
        <v>0</v>
      </c>
      <c r="AF17" s="68">
        <v>0</v>
      </c>
      <c r="AG17" s="73" t="s">
        <v>282</v>
      </c>
      <c r="AH17" s="68" t="b">
        <v>0</v>
      </c>
      <c r="AI17" s="68" t="s">
        <v>283</v>
      </c>
      <c r="AJ17" s="68"/>
      <c r="AK17" s="73" t="s">
        <v>282</v>
      </c>
      <c r="AL17" s="68" t="b">
        <v>0</v>
      </c>
      <c r="AM17" s="68">
        <v>5</v>
      </c>
      <c r="AN17" s="73" t="s">
        <v>839</v>
      </c>
      <c r="AO17" s="73" t="s">
        <v>950</v>
      </c>
      <c r="AP17" s="68" t="b">
        <v>0</v>
      </c>
      <c r="AQ17" s="73" t="s">
        <v>839</v>
      </c>
      <c r="AR17" s="68" t="s">
        <v>218</v>
      </c>
      <c r="AS17" s="68">
        <v>0</v>
      </c>
      <c r="AT17" s="68">
        <v>0</v>
      </c>
      <c r="AU17" s="68"/>
      <c r="AV17" s="68"/>
      <c r="AW17" s="68"/>
      <c r="AX17" s="68"/>
      <c r="AY17" s="68"/>
      <c r="AZ17" s="68"/>
      <c r="BA17" s="68"/>
      <c r="BB17" s="68"/>
      <c r="BC17" s="68">
        <v>1</v>
      </c>
      <c r="BD17" s="67" t="str">
        <f>REPLACE(INDEX(GroupVertices[Group],MATCH(Edges[[#This Row],[Vertex 1]],GroupVertices[Vertex],0)),1,1,"")</f>
        <v>7</v>
      </c>
      <c r="BE17" s="67" t="str">
        <f>REPLACE(INDEX(GroupVertices[Group],MATCH(Edges[[#This Row],[Vertex 2]],GroupVertices[Vertex],0)),1,1,"")</f>
        <v>7</v>
      </c>
      <c r="BF17" s="49"/>
      <c r="BG17" s="50"/>
      <c r="BH17" s="49"/>
      <c r="BI17" s="50"/>
      <c r="BJ17" s="49"/>
      <c r="BK17" s="50"/>
      <c r="BL17" s="49"/>
      <c r="BM17" s="50"/>
      <c r="BN17" s="49"/>
    </row>
    <row r="18" spans="1:66" ht="15">
      <c r="A18" s="66" t="s">
        <v>554</v>
      </c>
      <c r="B18" s="66" t="s">
        <v>641</v>
      </c>
      <c r="C18" s="84" t="s">
        <v>538</v>
      </c>
      <c r="D18" s="94">
        <v>5</v>
      </c>
      <c r="E18" s="84"/>
      <c r="F18" s="96">
        <v>50</v>
      </c>
      <c r="G18" s="84"/>
      <c r="H18" s="82"/>
      <c r="I18" s="97"/>
      <c r="J18" s="97"/>
      <c r="K18" s="35" t="s">
        <v>65</v>
      </c>
      <c r="L18" s="98">
        <v>18</v>
      </c>
      <c r="M18" s="98"/>
      <c r="N18" s="99"/>
      <c r="O18" s="68" t="s">
        <v>264</v>
      </c>
      <c r="P18" s="70">
        <v>44695.99466435185</v>
      </c>
      <c r="Q18" s="68" t="s">
        <v>665</v>
      </c>
      <c r="R18" s="68"/>
      <c r="S18" s="68"/>
      <c r="T18" s="73" t="s">
        <v>711</v>
      </c>
      <c r="U18" s="72" t="str">
        <f>HYPERLINK("https://pbs.twimg.com/amplify_video_thumb/1525624009236582400/img/pkRqNLkArsbX7wZC.jpg")</f>
        <v>https://pbs.twimg.com/amplify_video_thumb/1525624009236582400/img/pkRqNLkArsbX7wZC.jpg</v>
      </c>
      <c r="V18" s="72" t="str">
        <f>HYPERLINK("https://pbs.twimg.com/amplify_video_thumb/1525624009236582400/img/pkRqNLkArsbX7wZC.jpg")</f>
        <v>https://pbs.twimg.com/amplify_video_thumb/1525624009236582400/img/pkRqNLkArsbX7wZC.jpg</v>
      </c>
      <c r="W18" s="70">
        <v>44695.99466435185</v>
      </c>
      <c r="X18" s="75">
        <v>44695</v>
      </c>
      <c r="Y18" s="73" t="s">
        <v>735</v>
      </c>
      <c r="Z18" s="72" t="str">
        <f>HYPERLINK("https://twitter.com/peggymel2001/status/1525625085037793281")</f>
        <v>https://twitter.com/peggymel2001/status/1525625085037793281</v>
      </c>
      <c r="AA18" s="68"/>
      <c r="AB18" s="68"/>
      <c r="AC18" s="73" t="s">
        <v>838</v>
      </c>
      <c r="AD18" s="68"/>
      <c r="AE18" s="68" t="b">
        <v>0</v>
      </c>
      <c r="AF18" s="68">
        <v>0</v>
      </c>
      <c r="AG18" s="73" t="s">
        <v>282</v>
      </c>
      <c r="AH18" s="68" t="b">
        <v>0</v>
      </c>
      <c r="AI18" s="68" t="s">
        <v>283</v>
      </c>
      <c r="AJ18" s="68"/>
      <c r="AK18" s="73" t="s">
        <v>282</v>
      </c>
      <c r="AL18" s="68" t="b">
        <v>0</v>
      </c>
      <c r="AM18" s="68">
        <v>5</v>
      </c>
      <c r="AN18" s="73" t="s">
        <v>839</v>
      </c>
      <c r="AO18" s="73" t="s">
        <v>950</v>
      </c>
      <c r="AP18" s="68" t="b">
        <v>0</v>
      </c>
      <c r="AQ18" s="73" t="s">
        <v>839</v>
      </c>
      <c r="AR18" s="68" t="s">
        <v>218</v>
      </c>
      <c r="AS18" s="68">
        <v>0</v>
      </c>
      <c r="AT18" s="68">
        <v>0</v>
      </c>
      <c r="AU18" s="68"/>
      <c r="AV18" s="68"/>
      <c r="AW18" s="68"/>
      <c r="AX18" s="68"/>
      <c r="AY18" s="68"/>
      <c r="AZ18" s="68"/>
      <c r="BA18" s="68"/>
      <c r="BB18" s="68"/>
      <c r="BC18" s="68">
        <v>1</v>
      </c>
      <c r="BD18" s="67" t="str">
        <f>REPLACE(INDEX(GroupVertices[Group],MATCH(Edges[[#This Row],[Vertex 1]],GroupVertices[Vertex],0)),1,1,"")</f>
        <v>7</v>
      </c>
      <c r="BE18" s="67" t="str">
        <f>REPLACE(INDEX(GroupVertices[Group],MATCH(Edges[[#This Row],[Vertex 2]],GroupVertices[Vertex],0)),1,1,"")</f>
        <v>7</v>
      </c>
      <c r="BF18" s="49"/>
      <c r="BG18" s="50"/>
      <c r="BH18" s="49"/>
      <c r="BI18" s="50"/>
      <c r="BJ18" s="49"/>
      <c r="BK18" s="50"/>
      <c r="BL18" s="49"/>
      <c r="BM18" s="50"/>
      <c r="BN18" s="49"/>
    </row>
    <row r="19" spans="1:66" ht="15">
      <c r="A19" s="66" t="s">
        <v>554</v>
      </c>
      <c r="B19" s="66" t="s">
        <v>555</v>
      </c>
      <c r="C19" s="84" t="s">
        <v>538</v>
      </c>
      <c r="D19" s="94">
        <v>5</v>
      </c>
      <c r="E19" s="84"/>
      <c r="F19" s="96">
        <v>50</v>
      </c>
      <c r="G19" s="84"/>
      <c r="H19" s="82"/>
      <c r="I19" s="97"/>
      <c r="J19" s="97"/>
      <c r="K19" s="35" t="s">
        <v>65</v>
      </c>
      <c r="L19" s="98">
        <v>19</v>
      </c>
      <c r="M19" s="98"/>
      <c r="N19" s="99"/>
      <c r="O19" s="68" t="s">
        <v>262</v>
      </c>
      <c r="P19" s="70">
        <v>44695.99466435185</v>
      </c>
      <c r="Q19" s="68" t="s">
        <v>665</v>
      </c>
      <c r="R19" s="68"/>
      <c r="S19" s="68"/>
      <c r="T19" s="73" t="s">
        <v>711</v>
      </c>
      <c r="U19" s="72" t="str">
        <f>HYPERLINK("https://pbs.twimg.com/amplify_video_thumb/1525624009236582400/img/pkRqNLkArsbX7wZC.jpg")</f>
        <v>https://pbs.twimg.com/amplify_video_thumb/1525624009236582400/img/pkRqNLkArsbX7wZC.jpg</v>
      </c>
      <c r="V19" s="72" t="str">
        <f>HYPERLINK("https://pbs.twimg.com/amplify_video_thumb/1525624009236582400/img/pkRqNLkArsbX7wZC.jpg")</f>
        <v>https://pbs.twimg.com/amplify_video_thumb/1525624009236582400/img/pkRqNLkArsbX7wZC.jpg</v>
      </c>
      <c r="W19" s="70">
        <v>44695.99466435185</v>
      </c>
      <c r="X19" s="75">
        <v>44695</v>
      </c>
      <c r="Y19" s="73" t="s">
        <v>735</v>
      </c>
      <c r="Z19" s="72" t="str">
        <f>HYPERLINK("https://twitter.com/peggymel2001/status/1525625085037793281")</f>
        <v>https://twitter.com/peggymel2001/status/1525625085037793281</v>
      </c>
      <c r="AA19" s="68"/>
      <c r="AB19" s="68"/>
      <c r="AC19" s="73" t="s">
        <v>838</v>
      </c>
      <c r="AD19" s="68"/>
      <c r="AE19" s="68" t="b">
        <v>0</v>
      </c>
      <c r="AF19" s="68">
        <v>0</v>
      </c>
      <c r="AG19" s="73" t="s">
        <v>282</v>
      </c>
      <c r="AH19" s="68" t="b">
        <v>0</v>
      </c>
      <c r="AI19" s="68" t="s">
        <v>283</v>
      </c>
      <c r="AJ19" s="68"/>
      <c r="AK19" s="73" t="s">
        <v>282</v>
      </c>
      <c r="AL19" s="68" t="b">
        <v>0</v>
      </c>
      <c r="AM19" s="68">
        <v>5</v>
      </c>
      <c r="AN19" s="73" t="s">
        <v>839</v>
      </c>
      <c r="AO19" s="73" t="s">
        <v>950</v>
      </c>
      <c r="AP19" s="68" t="b">
        <v>0</v>
      </c>
      <c r="AQ19" s="73" t="s">
        <v>839</v>
      </c>
      <c r="AR19" s="68" t="s">
        <v>218</v>
      </c>
      <c r="AS19" s="68">
        <v>0</v>
      </c>
      <c r="AT19" s="68">
        <v>0</v>
      </c>
      <c r="AU19" s="68"/>
      <c r="AV19" s="68"/>
      <c r="AW19" s="68"/>
      <c r="AX19" s="68"/>
      <c r="AY19" s="68"/>
      <c r="AZ19" s="68"/>
      <c r="BA19" s="68"/>
      <c r="BB19" s="68"/>
      <c r="BC19" s="68">
        <v>1</v>
      </c>
      <c r="BD19" s="67" t="str">
        <f>REPLACE(INDEX(GroupVertices[Group],MATCH(Edges[[#This Row],[Vertex 1]],GroupVertices[Vertex],0)),1,1,"")</f>
        <v>7</v>
      </c>
      <c r="BE19" s="67" t="str">
        <f>REPLACE(INDEX(GroupVertices[Group],MATCH(Edges[[#This Row],[Vertex 2]],GroupVertices[Vertex],0)),1,1,"")</f>
        <v>7</v>
      </c>
      <c r="BF19" s="49">
        <v>1</v>
      </c>
      <c r="BG19" s="50">
        <v>3.5714285714285716</v>
      </c>
      <c r="BH19" s="49">
        <v>0</v>
      </c>
      <c r="BI19" s="50">
        <v>0</v>
      </c>
      <c r="BJ19" s="49">
        <v>0</v>
      </c>
      <c r="BK19" s="50">
        <v>0</v>
      </c>
      <c r="BL19" s="49">
        <v>27</v>
      </c>
      <c r="BM19" s="50">
        <v>96.42857142857143</v>
      </c>
      <c r="BN19" s="49">
        <v>28</v>
      </c>
    </row>
    <row r="20" spans="1:66" ht="15">
      <c r="A20" s="66" t="s">
        <v>555</v>
      </c>
      <c r="B20" s="66" t="s">
        <v>640</v>
      </c>
      <c r="C20" s="84" t="s">
        <v>538</v>
      </c>
      <c r="D20" s="94">
        <v>5</v>
      </c>
      <c r="E20" s="84"/>
      <c r="F20" s="96">
        <v>50</v>
      </c>
      <c r="G20" s="84"/>
      <c r="H20" s="82"/>
      <c r="I20" s="97"/>
      <c r="J20" s="97"/>
      <c r="K20" s="35" t="s">
        <v>65</v>
      </c>
      <c r="L20" s="98">
        <v>20</v>
      </c>
      <c r="M20" s="98"/>
      <c r="N20" s="99"/>
      <c r="O20" s="68" t="s">
        <v>263</v>
      </c>
      <c r="P20" s="70">
        <v>44695.99318287037</v>
      </c>
      <c r="Q20" s="68" t="s">
        <v>665</v>
      </c>
      <c r="R20" s="68"/>
      <c r="S20" s="68"/>
      <c r="T20" s="73" t="s">
        <v>711</v>
      </c>
      <c r="U20" s="72" t="str">
        <f>HYPERLINK("https://pbs.twimg.com/amplify_video_thumb/1525624009236582400/img/pkRqNLkArsbX7wZC.jpg")</f>
        <v>https://pbs.twimg.com/amplify_video_thumb/1525624009236582400/img/pkRqNLkArsbX7wZC.jpg</v>
      </c>
      <c r="V20" s="72" t="str">
        <f>HYPERLINK("https://pbs.twimg.com/amplify_video_thumb/1525624009236582400/img/pkRqNLkArsbX7wZC.jpg")</f>
        <v>https://pbs.twimg.com/amplify_video_thumb/1525624009236582400/img/pkRqNLkArsbX7wZC.jpg</v>
      </c>
      <c r="W20" s="70">
        <v>44695.99318287037</v>
      </c>
      <c r="X20" s="75">
        <v>44695</v>
      </c>
      <c r="Y20" s="73" t="s">
        <v>736</v>
      </c>
      <c r="Z20" s="72" t="str">
        <f>HYPERLINK("https://twitter.com/abcnews/status/1525624545507700736")</f>
        <v>https://twitter.com/abcnews/status/1525624545507700736</v>
      </c>
      <c r="AA20" s="68"/>
      <c r="AB20" s="68"/>
      <c r="AC20" s="73" t="s">
        <v>839</v>
      </c>
      <c r="AD20" s="68"/>
      <c r="AE20" s="68" t="b">
        <v>0</v>
      </c>
      <c r="AF20" s="68">
        <v>14</v>
      </c>
      <c r="AG20" s="73" t="s">
        <v>282</v>
      </c>
      <c r="AH20" s="68" t="b">
        <v>0</v>
      </c>
      <c r="AI20" s="68" t="s">
        <v>283</v>
      </c>
      <c r="AJ20" s="68"/>
      <c r="AK20" s="73" t="s">
        <v>282</v>
      </c>
      <c r="AL20" s="68" t="b">
        <v>0</v>
      </c>
      <c r="AM20" s="68">
        <v>5</v>
      </c>
      <c r="AN20" s="73" t="s">
        <v>282</v>
      </c>
      <c r="AO20" s="73" t="s">
        <v>951</v>
      </c>
      <c r="AP20" s="68" t="b">
        <v>0</v>
      </c>
      <c r="AQ20" s="73" t="s">
        <v>839</v>
      </c>
      <c r="AR20" s="68" t="s">
        <v>218</v>
      </c>
      <c r="AS20" s="68">
        <v>0</v>
      </c>
      <c r="AT20" s="68">
        <v>0</v>
      </c>
      <c r="AU20" s="68"/>
      <c r="AV20" s="68"/>
      <c r="AW20" s="68"/>
      <c r="AX20" s="68"/>
      <c r="AY20" s="68"/>
      <c r="AZ20" s="68"/>
      <c r="BA20" s="68"/>
      <c r="BB20" s="68"/>
      <c r="BC20" s="68">
        <v>1</v>
      </c>
      <c r="BD20" s="67" t="str">
        <f>REPLACE(INDEX(GroupVertices[Group],MATCH(Edges[[#This Row],[Vertex 1]],GroupVertices[Vertex],0)),1,1,"")</f>
        <v>7</v>
      </c>
      <c r="BE20" s="67" t="str">
        <f>REPLACE(INDEX(GroupVertices[Group],MATCH(Edges[[#This Row],[Vertex 2]],GroupVertices[Vertex],0)),1,1,"")</f>
        <v>7</v>
      </c>
      <c r="BF20" s="49"/>
      <c r="BG20" s="50"/>
      <c r="BH20" s="49"/>
      <c r="BI20" s="50"/>
      <c r="BJ20" s="49"/>
      <c r="BK20" s="50"/>
      <c r="BL20" s="49"/>
      <c r="BM20" s="50"/>
      <c r="BN20" s="49"/>
    </row>
    <row r="21" spans="1:66" ht="15">
      <c r="A21" s="66" t="s">
        <v>556</v>
      </c>
      <c r="B21" s="66" t="s">
        <v>640</v>
      </c>
      <c r="C21" s="84" t="s">
        <v>538</v>
      </c>
      <c r="D21" s="94">
        <v>5</v>
      </c>
      <c r="E21" s="84"/>
      <c r="F21" s="96">
        <v>50</v>
      </c>
      <c r="G21" s="84"/>
      <c r="H21" s="82"/>
      <c r="I21" s="97"/>
      <c r="J21" s="97"/>
      <c r="K21" s="35" t="s">
        <v>65</v>
      </c>
      <c r="L21" s="98">
        <v>21</v>
      </c>
      <c r="M21" s="98"/>
      <c r="N21" s="99"/>
      <c r="O21" s="68" t="s">
        <v>264</v>
      </c>
      <c r="P21" s="70">
        <v>44695.99534722222</v>
      </c>
      <c r="Q21" s="68" t="s">
        <v>665</v>
      </c>
      <c r="R21" s="68"/>
      <c r="S21" s="68"/>
      <c r="T21" s="73" t="s">
        <v>711</v>
      </c>
      <c r="U21" s="72" t="str">
        <f>HYPERLINK("https://pbs.twimg.com/amplify_video_thumb/1525624009236582400/img/pkRqNLkArsbX7wZC.jpg")</f>
        <v>https://pbs.twimg.com/amplify_video_thumb/1525624009236582400/img/pkRqNLkArsbX7wZC.jpg</v>
      </c>
      <c r="V21" s="72" t="str">
        <f>HYPERLINK("https://pbs.twimg.com/amplify_video_thumb/1525624009236582400/img/pkRqNLkArsbX7wZC.jpg")</f>
        <v>https://pbs.twimg.com/amplify_video_thumb/1525624009236582400/img/pkRqNLkArsbX7wZC.jpg</v>
      </c>
      <c r="W21" s="70">
        <v>44695.99534722222</v>
      </c>
      <c r="X21" s="75">
        <v>44695</v>
      </c>
      <c r="Y21" s="73" t="s">
        <v>737</v>
      </c>
      <c r="Z21" s="72" t="str">
        <f>HYPERLINK("https://twitter.com/zazava/status/1525625332803305473")</f>
        <v>https://twitter.com/zazava/status/1525625332803305473</v>
      </c>
      <c r="AA21" s="68"/>
      <c r="AB21" s="68"/>
      <c r="AC21" s="73" t="s">
        <v>840</v>
      </c>
      <c r="AD21" s="68"/>
      <c r="AE21" s="68" t="b">
        <v>0</v>
      </c>
      <c r="AF21" s="68">
        <v>0</v>
      </c>
      <c r="AG21" s="73" t="s">
        <v>282</v>
      </c>
      <c r="AH21" s="68" t="b">
        <v>0</v>
      </c>
      <c r="AI21" s="68" t="s">
        <v>283</v>
      </c>
      <c r="AJ21" s="68"/>
      <c r="AK21" s="73" t="s">
        <v>282</v>
      </c>
      <c r="AL21" s="68" t="b">
        <v>0</v>
      </c>
      <c r="AM21" s="68">
        <v>5</v>
      </c>
      <c r="AN21" s="73" t="s">
        <v>839</v>
      </c>
      <c r="AO21" s="73" t="s">
        <v>285</v>
      </c>
      <c r="AP21" s="68" t="b">
        <v>0</v>
      </c>
      <c r="AQ21" s="73" t="s">
        <v>839</v>
      </c>
      <c r="AR21" s="68" t="s">
        <v>218</v>
      </c>
      <c r="AS21" s="68">
        <v>0</v>
      </c>
      <c r="AT21" s="68">
        <v>0</v>
      </c>
      <c r="AU21" s="68"/>
      <c r="AV21" s="68"/>
      <c r="AW21" s="68"/>
      <c r="AX21" s="68"/>
      <c r="AY21" s="68"/>
      <c r="AZ21" s="68"/>
      <c r="BA21" s="68"/>
      <c r="BB21" s="68"/>
      <c r="BC21" s="68">
        <v>1</v>
      </c>
      <c r="BD21" s="67" t="str">
        <f>REPLACE(INDEX(GroupVertices[Group],MATCH(Edges[[#This Row],[Vertex 1]],GroupVertices[Vertex],0)),1,1,"")</f>
        <v>7</v>
      </c>
      <c r="BE21" s="67" t="str">
        <f>REPLACE(INDEX(GroupVertices[Group],MATCH(Edges[[#This Row],[Vertex 2]],GroupVertices[Vertex],0)),1,1,"")</f>
        <v>7</v>
      </c>
      <c r="BF21" s="49"/>
      <c r="BG21" s="50"/>
      <c r="BH21" s="49"/>
      <c r="BI21" s="50"/>
      <c r="BJ21" s="49"/>
      <c r="BK21" s="50"/>
      <c r="BL21" s="49"/>
      <c r="BM21" s="50"/>
      <c r="BN21" s="49"/>
    </row>
    <row r="22" spans="1:66" ht="15">
      <c r="A22" s="66" t="s">
        <v>555</v>
      </c>
      <c r="B22" s="66" t="s">
        <v>641</v>
      </c>
      <c r="C22" s="84" t="s">
        <v>538</v>
      </c>
      <c r="D22" s="94">
        <v>5</v>
      </c>
      <c r="E22" s="84"/>
      <c r="F22" s="96">
        <v>50</v>
      </c>
      <c r="G22" s="84"/>
      <c r="H22" s="82"/>
      <c r="I22" s="97"/>
      <c r="J22" s="97"/>
      <c r="K22" s="35" t="s">
        <v>65</v>
      </c>
      <c r="L22" s="98">
        <v>22</v>
      </c>
      <c r="M22" s="98"/>
      <c r="N22" s="99"/>
      <c r="O22" s="68" t="s">
        <v>263</v>
      </c>
      <c r="P22" s="70">
        <v>44695.99318287037</v>
      </c>
      <c r="Q22" s="68" t="s">
        <v>665</v>
      </c>
      <c r="R22" s="68"/>
      <c r="S22" s="68"/>
      <c r="T22" s="73" t="s">
        <v>711</v>
      </c>
      <c r="U22" s="72" t="str">
        <f>HYPERLINK("https://pbs.twimg.com/amplify_video_thumb/1525624009236582400/img/pkRqNLkArsbX7wZC.jpg")</f>
        <v>https://pbs.twimg.com/amplify_video_thumb/1525624009236582400/img/pkRqNLkArsbX7wZC.jpg</v>
      </c>
      <c r="V22" s="72" t="str">
        <f>HYPERLINK("https://pbs.twimg.com/amplify_video_thumb/1525624009236582400/img/pkRqNLkArsbX7wZC.jpg")</f>
        <v>https://pbs.twimg.com/amplify_video_thumb/1525624009236582400/img/pkRqNLkArsbX7wZC.jpg</v>
      </c>
      <c r="W22" s="70">
        <v>44695.99318287037</v>
      </c>
      <c r="X22" s="75">
        <v>44695</v>
      </c>
      <c r="Y22" s="73" t="s">
        <v>736</v>
      </c>
      <c r="Z22" s="72" t="str">
        <f>HYPERLINK("https://twitter.com/abcnews/status/1525624545507700736")</f>
        <v>https://twitter.com/abcnews/status/1525624545507700736</v>
      </c>
      <c r="AA22" s="68"/>
      <c r="AB22" s="68"/>
      <c r="AC22" s="73" t="s">
        <v>839</v>
      </c>
      <c r="AD22" s="68"/>
      <c r="AE22" s="68" t="b">
        <v>0</v>
      </c>
      <c r="AF22" s="68">
        <v>14</v>
      </c>
      <c r="AG22" s="73" t="s">
        <v>282</v>
      </c>
      <c r="AH22" s="68" t="b">
        <v>0</v>
      </c>
      <c r="AI22" s="68" t="s">
        <v>283</v>
      </c>
      <c r="AJ22" s="68"/>
      <c r="AK22" s="73" t="s">
        <v>282</v>
      </c>
      <c r="AL22" s="68" t="b">
        <v>0</v>
      </c>
      <c r="AM22" s="68">
        <v>5</v>
      </c>
      <c r="AN22" s="73" t="s">
        <v>282</v>
      </c>
      <c r="AO22" s="73" t="s">
        <v>951</v>
      </c>
      <c r="AP22" s="68" t="b">
        <v>0</v>
      </c>
      <c r="AQ22" s="73" t="s">
        <v>839</v>
      </c>
      <c r="AR22" s="68" t="s">
        <v>218</v>
      </c>
      <c r="AS22" s="68">
        <v>0</v>
      </c>
      <c r="AT22" s="68">
        <v>0</v>
      </c>
      <c r="AU22" s="68"/>
      <c r="AV22" s="68"/>
      <c r="AW22" s="68"/>
      <c r="AX22" s="68"/>
      <c r="AY22" s="68"/>
      <c r="AZ22" s="68"/>
      <c r="BA22" s="68"/>
      <c r="BB22" s="68"/>
      <c r="BC22" s="68">
        <v>1</v>
      </c>
      <c r="BD22" s="67" t="str">
        <f>REPLACE(INDEX(GroupVertices[Group],MATCH(Edges[[#This Row],[Vertex 1]],GroupVertices[Vertex],0)),1,1,"")</f>
        <v>7</v>
      </c>
      <c r="BE22" s="67" t="str">
        <f>REPLACE(INDEX(GroupVertices[Group],MATCH(Edges[[#This Row],[Vertex 2]],GroupVertices[Vertex],0)),1,1,"")</f>
        <v>7</v>
      </c>
      <c r="BF22" s="49">
        <v>1</v>
      </c>
      <c r="BG22" s="50">
        <v>3.5714285714285716</v>
      </c>
      <c r="BH22" s="49">
        <v>0</v>
      </c>
      <c r="BI22" s="50">
        <v>0</v>
      </c>
      <c r="BJ22" s="49">
        <v>0</v>
      </c>
      <c r="BK22" s="50">
        <v>0</v>
      </c>
      <c r="BL22" s="49">
        <v>27</v>
      </c>
      <c r="BM22" s="50">
        <v>96.42857142857143</v>
      </c>
      <c r="BN22" s="49">
        <v>28</v>
      </c>
    </row>
    <row r="23" spans="1:66" ht="15">
      <c r="A23" s="66" t="s">
        <v>556</v>
      </c>
      <c r="B23" s="66" t="s">
        <v>641</v>
      </c>
      <c r="C23" s="84" t="s">
        <v>538</v>
      </c>
      <c r="D23" s="94">
        <v>5</v>
      </c>
      <c r="E23" s="84"/>
      <c r="F23" s="96">
        <v>50</v>
      </c>
      <c r="G23" s="84"/>
      <c r="H23" s="82"/>
      <c r="I23" s="97"/>
      <c r="J23" s="97"/>
      <c r="K23" s="35" t="s">
        <v>65</v>
      </c>
      <c r="L23" s="98">
        <v>23</v>
      </c>
      <c r="M23" s="98"/>
      <c r="N23" s="99"/>
      <c r="O23" s="68" t="s">
        <v>264</v>
      </c>
      <c r="P23" s="70">
        <v>44695.99534722222</v>
      </c>
      <c r="Q23" s="68" t="s">
        <v>665</v>
      </c>
      <c r="R23" s="68"/>
      <c r="S23" s="68"/>
      <c r="T23" s="73" t="s">
        <v>711</v>
      </c>
      <c r="U23" s="72" t="str">
        <f>HYPERLINK("https://pbs.twimg.com/amplify_video_thumb/1525624009236582400/img/pkRqNLkArsbX7wZC.jpg")</f>
        <v>https://pbs.twimg.com/amplify_video_thumb/1525624009236582400/img/pkRqNLkArsbX7wZC.jpg</v>
      </c>
      <c r="V23" s="72" t="str">
        <f>HYPERLINK("https://pbs.twimg.com/amplify_video_thumb/1525624009236582400/img/pkRqNLkArsbX7wZC.jpg")</f>
        <v>https://pbs.twimg.com/amplify_video_thumb/1525624009236582400/img/pkRqNLkArsbX7wZC.jpg</v>
      </c>
      <c r="W23" s="70">
        <v>44695.99534722222</v>
      </c>
      <c r="X23" s="75">
        <v>44695</v>
      </c>
      <c r="Y23" s="73" t="s">
        <v>737</v>
      </c>
      <c r="Z23" s="72" t="str">
        <f>HYPERLINK("https://twitter.com/zazava/status/1525625332803305473")</f>
        <v>https://twitter.com/zazava/status/1525625332803305473</v>
      </c>
      <c r="AA23" s="68"/>
      <c r="AB23" s="68"/>
      <c r="AC23" s="73" t="s">
        <v>840</v>
      </c>
      <c r="AD23" s="68"/>
      <c r="AE23" s="68" t="b">
        <v>0</v>
      </c>
      <c r="AF23" s="68">
        <v>0</v>
      </c>
      <c r="AG23" s="73" t="s">
        <v>282</v>
      </c>
      <c r="AH23" s="68" t="b">
        <v>0</v>
      </c>
      <c r="AI23" s="68" t="s">
        <v>283</v>
      </c>
      <c r="AJ23" s="68"/>
      <c r="AK23" s="73" t="s">
        <v>282</v>
      </c>
      <c r="AL23" s="68" t="b">
        <v>0</v>
      </c>
      <c r="AM23" s="68">
        <v>5</v>
      </c>
      <c r="AN23" s="73" t="s">
        <v>839</v>
      </c>
      <c r="AO23" s="73" t="s">
        <v>285</v>
      </c>
      <c r="AP23" s="68" t="b">
        <v>0</v>
      </c>
      <c r="AQ23" s="73" t="s">
        <v>839</v>
      </c>
      <c r="AR23" s="68" t="s">
        <v>218</v>
      </c>
      <c r="AS23" s="68">
        <v>0</v>
      </c>
      <c r="AT23" s="68">
        <v>0</v>
      </c>
      <c r="AU23" s="68"/>
      <c r="AV23" s="68"/>
      <c r="AW23" s="68"/>
      <c r="AX23" s="68"/>
      <c r="AY23" s="68"/>
      <c r="AZ23" s="68"/>
      <c r="BA23" s="68"/>
      <c r="BB23" s="68"/>
      <c r="BC23" s="68">
        <v>1</v>
      </c>
      <c r="BD23" s="67" t="str">
        <f>REPLACE(INDEX(GroupVertices[Group],MATCH(Edges[[#This Row],[Vertex 1]],GroupVertices[Vertex],0)),1,1,"")</f>
        <v>7</v>
      </c>
      <c r="BE23" s="67" t="str">
        <f>REPLACE(INDEX(GroupVertices[Group],MATCH(Edges[[#This Row],[Vertex 2]],GroupVertices[Vertex],0)),1,1,"")</f>
        <v>7</v>
      </c>
      <c r="BF23" s="49"/>
      <c r="BG23" s="50"/>
      <c r="BH23" s="49"/>
      <c r="BI23" s="50"/>
      <c r="BJ23" s="49"/>
      <c r="BK23" s="50"/>
      <c r="BL23" s="49"/>
      <c r="BM23" s="50"/>
      <c r="BN23" s="49"/>
    </row>
    <row r="24" spans="1:66" ht="15">
      <c r="A24" s="66" t="s">
        <v>556</v>
      </c>
      <c r="B24" s="66" t="s">
        <v>555</v>
      </c>
      <c r="C24" s="84" t="s">
        <v>538</v>
      </c>
      <c r="D24" s="94">
        <v>5</v>
      </c>
      <c r="E24" s="84"/>
      <c r="F24" s="96">
        <v>50</v>
      </c>
      <c r="G24" s="84"/>
      <c r="H24" s="82"/>
      <c r="I24" s="97"/>
      <c r="J24" s="97"/>
      <c r="K24" s="35" t="s">
        <v>65</v>
      </c>
      <c r="L24" s="98">
        <v>24</v>
      </c>
      <c r="M24" s="98"/>
      <c r="N24" s="99"/>
      <c r="O24" s="68" t="s">
        <v>262</v>
      </c>
      <c r="P24" s="70">
        <v>44695.99534722222</v>
      </c>
      <c r="Q24" s="68" t="s">
        <v>665</v>
      </c>
      <c r="R24" s="68"/>
      <c r="S24" s="68"/>
      <c r="T24" s="73" t="s">
        <v>711</v>
      </c>
      <c r="U24" s="72" t="str">
        <f>HYPERLINK("https://pbs.twimg.com/amplify_video_thumb/1525624009236582400/img/pkRqNLkArsbX7wZC.jpg")</f>
        <v>https://pbs.twimg.com/amplify_video_thumb/1525624009236582400/img/pkRqNLkArsbX7wZC.jpg</v>
      </c>
      <c r="V24" s="72" t="str">
        <f>HYPERLINK("https://pbs.twimg.com/amplify_video_thumb/1525624009236582400/img/pkRqNLkArsbX7wZC.jpg")</f>
        <v>https://pbs.twimg.com/amplify_video_thumb/1525624009236582400/img/pkRqNLkArsbX7wZC.jpg</v>
      </c>
      <c r="W24" s="70">
        <v>44695.99534722222</v>
      </c>
      <c r="X24" s="75">
        <v>44695</v>
      </c>
      <c r="Y24" s="73" t="s">
        <v>737</v>
      </c>
      <c r="Z24" s="72" t="str">
        <f>HYPERLINK("https://twitter.com/zazava/status/1525625332803305473")</f>
        <v>https://twitter.com/zazava/status/1525625332803305473</v>
      </c>
      <c r="AA24" s="68"/>
      <c r="AB24" s="68"/>
      <c r="AC24" s="73" t="s">
        <v>840</v>
      </c>
      <c r="AD24" s="68"/>
      <c r="AE24" s="68" t="b">
        <v>0</v>
      </c>
      <c r="AF24" s="68">
        <v>0</v>
      </c>
      <c r="AG24" s="73" t="s">
        <v>282</v>
      </c>
      <c r="AH24" s="68" t="b">
        <v>0</v>
      </c>
      <c r="AI24" s="68" t="s">
        <v>283</v>
      </c>
      <c r="AJ24" s="68"/>
      <c r="AK24" s="73" t="s">
        <v>282</v>
      </c>
      <c r="AL24" s="68" t="b">
        <v>0</v>
      </c>
      <c r="AM24" s="68">
        <v>5</v>
      </c>
      <c r="AN24" s="73" t="s">
        <v>839</v>
      </c>
      <c r="AO24" s="73" t="s">
        <v>285</v>
      </c>
      <c r="AP24" s="68" t="b">
        <v>0</v>
      </c>
      <c r="AQ24" s="73" t="s">
        <v>839</v>
      </c>
      <c r="AR24" s="68" t="s">
        <v>218</v>
      </c>
      <c r="AS24" s="68">
        <v>0</v>
      </c>
      <c r="AT24" s="68">
        <v>0</v>
      </c>
      <c r="AU24" s="68"/>
      <c r="AV24" s="68"/>
      <c r="AW24" s="68"/>
      <c r="AX24" s="68"/>
      <c r="AY24" s="68"/>
      <c r="AZ24" s="68"/>
      <c r="BA24" s="68"/>
      <c r="BB24" s="68"/>
      <c r="BC24" s="68">
        <v>1</v>
      </c>
      <c r="BD24" s="67" t="str">
        <f>REPLACE(INDEX(GroupVertices[Group],MATCH(Edges[[#This Row],[Vertex 1]],GroupVertices[Vertex],0)),1,1,"")</f>
        <v>7</v>
      </c>
      <c r="BE24" s="67" t="str">
        <f>REPLACE(INDEX(GroupVertices[Group],MATCH(Edges[[#This Row],[Vertex 2]],GroupVertices[Vertex],0)),1,1,"")</f>
        <v>7</v>
      </c>
      <c r="BF24" s="49">
        <v>1</v>
      </c>
      <c r="BG24" s="50">
        <v>3.5714285714285716</v>
      </c>
      <c r="BH24" s="49">
        <v>0</v>
      </c>
      <c r="BI24" s="50">
        <v>0</v>
      </c>
      <c r="BJ24" s="49">
        <v>0</v>
      </c>
      <c r="BK24" s="50">
        <v>0</v>
      </c>
      <c r="BL24" s="49">
        <v>27</v>
      </c>
      <c r="BM24" s="50">
        <v>96.42857142857143</v>
      </c>
      <c r="BN24" s="49">
        <v>28</v>
      </c>
    </row>
    <row r="25" spans="1:66" ht="15">
      <c r="A25" s="66" t="s">
        <v>557</v>
      </c>
      <c r="B25" s="66" t="s">
        <v>561</v>
      </c>
      <c r="C25" s="84" t="s">
        <v>538</v>
      </c>
      <c r="D25" s="94">
        <v>5</v>
      </c>
      <c r="E25" s="84"/>
      <c r="F25" s="96">
        <v>50</v>
      </c>
      <c r="G25" s="84"/>
      <c r="H25" s="82"/>
      <c r="I25" s="97"/>
      <c r="J25" s="97"/>
      <c r="K25" s="35" t="s">
        <v>65</v>
      </c>
      <c r="L25" s="98">
        <v>25</v>
      </c>
      <c r="M25" s="98"/>
      <c r="N25" s="99"/>
      <c r="O25" s="68" t="s">
        <v>262</v>
      </c>
      <c r="P25" s="70">
        <v>44696.54158564815</v>
      </c>
      <c r="Q25" s="68" t="s">
        <v>666</v>
      </c>
      <c r="R25" s="68"/>
      <c r="S25" s="68"/>
      <c r="T25" s="73" t="s">
        <v>712</v>
      </c>
      <c r="U25" s="68"/>
      <c r="V25" s="72" t="str">
        <f>HYPERLINK("https://pbs.twimg.com/profile_images/1518150919782899712/jXSikTdV_normal.jpg")</f>
        <v>https://pbs.twimg.com/profile_images/1518150919782899712/jXSikTdV_normal.jpg</v>
      </c>
      <c r="W25" s="70">
        <v>44696.54158564815</v>
      </c>
      <c r="X25" s="75">
        <v>44696</v>
      </c>
      <c r="Y25" s="73" t="s">
        <v>738</v>
      </c>
      <c r="Z25" s="72" t="str">
        <f>HYPERLINK("https://twitter.com/babahererra/status/1525823281756098561")</f>
        <v>https://twitter.com/babahererra/status/1525823281756098561</v>
      </c>
      <c r="AA25" s="68"/>
      <c r="AB25" s="68"/>
      <c r="AC25" s="73" t="s">
        <v>841</v>
      </c>
      <c r="AD25" s="68"/>
      <c r="AE25" s="68" t="b">
        <v>0</v>
      </c>
      <c r="AF25" s="68">
        <v>0</v>
      </c>
      <c r="AG25" s="73" t="s">
        <v>282</v>
      </c>
      <c r="AH25" s="68" t="b">
        <v>0</v>
      </c>
      <c r="AI25" s="68" t="s">
        <v>283</v>
      </c>
      <c r="AJ25" s="68"/>
      <c r="AK25" s="73" t="s">
        <v>282</v>
      </c>
      <c r="AL25" s="68" t="b">
        <v>0</v>
      </c>
      <c r="AM25" s="68">
        <v>68</v>
      </c>
      <c r="AN25" s="73" t="s">
        <v>845</v>
      </c>
      <c r="AO25" s="73" t="s">
        <v>947</v>
      </c>
      <c r="AP25" s="68" t="b">
        <v>0</v>
      </c>
      <c r="AQ25" s="73" t="s">
        <v>845</v>
      </c>
      <c r="AR25" s="68" t="s">
        <v>218</v>
      </c>
      <c r="AS25" s="68">
        <v>0</v>
      </c>
      <c r="AT25" s="68">
        <v>0</v>
      </c>
      <c r="AU25" s="68"/>
      <c r="AV25" s="68"/>
      <c r="AW25" s="68"/>
      <c r="AX25" s="68"/>
      <c r="AY25" s="68"/>
      <c r="AZ25" s="68"/>
      <c r="BA25" s="68"/>
      <c r="BB25" s="68"/>
      <c r="BC25" s="68">
        <v>1</v>
      </c>
      <c r="BD25" s="67" t="str">
        <f>REPLACE(INDEX(GroupVertices[Group],MATCH(Edges[[#This Row],[Vertex 1]],GroupVertices[Vertex],0)),1,1,"")</f>
        <v>5</v>
      </c>
      <c r="BE25" s="67" t="str">
        <f>REPLACE(INDEX(GroupVertices[Group],MATCH(Edges[[#This Row],[Vertex 2]],GroupVertices[Vertex],0)),1,1,"")</f>
        <v>5</v>
      </c>
      <c r="BF25" s="49">
        <v>0</v>
      </c>
      <c r="BG25" s="50">
        <v>0</v>
      </c>
      <c r="BH25" s="49">
        <v>0</v>
      </c>
      <c r="BI25" s="50">
        <v>0</v>
      </c>
      <c r="BJ25" s="49">
        <v>0</v>
      </c>
      <c r="BK25" s="50">
        <v>0</v>
      </c>
      <c r="BL25" s="49">
        <v>45</v>
      </c>
      <c r="BM25" s="50">
        <v>100</v>
      </c>
      <c r="BN25" s="49">
        <v>45</v>
      </c>
    </row>
    <row r="26" spans="1:66" ht="15">
      <c r="A26" s="66" t="s">
        <v>558</v>
      </c>
      <c r="B26" s="66" t="s">
        <v>561</v>
      </c>
      <c r="C26" s="84" t="s">
        <v>538</v>
      </c>
      <c r="D26" s="94">
        <v>5</v>
      </c>
      <c r="E26" s="84"/>
      <c r="F26" s="96">
        <v>50</v>
      </c>
      <c r="G26" s="84"/>
      <c r="H26" s="82"/>
      <c r="I26" s="97"/>
      <c r="J26" s="97"/>
      <c r="K26" s="35" t="s">
        <v>65</v>
      </c>
      <c r="L26" s="98">
        <v>26</v>
      </c>
      <c r="M26" s="98"/>
      <c r="N26" s="99"/>
      <c r="O26" s="68" t="s">
        <v>262</v>
      </c>
      <c r="P26" s="70">
        <v>44696.55648148148</v>
      </c>
      <c r="Q26" s="68" t="s">
        <v>666</v>
      </c>
      <c r="R26" s="68"/>
      <c r="S26" s="68"/>
      <c r="T26" s="73" t="s">
        <v>712</v>
      </c>
      <c r="U26" s="68"/>
      <c r="V26" s="72" t="str">
        <f>HYPERLINK("https://pbs.twimg.com/profile_images/1508195568698413058/bpUXOoE4_normal.jpg")</f>
        <v>https://pbs.twimg.com/profile_images/1508195568698413058/bpUXOoE4_normal.jpg</v>
      </c>
      <c r="W26" s="70">
        <v>44696.55648148148</v>
      </c>
      <c r="X26" s="75">
        <v>44696</v>
      </c>
      <c r="Y26" s="73" t="s">
        <v>739</v>
      </c>
      <c r="Z26" s="72" t="str">
        <f>HYPERLINK("https://twitter.com/imam_president/status/1525828679259111424")</f>
        <v>https://twitter.com/imam_president/status/1525828679259111424</v>
      </c>
      <c r="AA26" s="68"/>
      <c r="AB26" s="68"/>
      <c r="AC26" s="73" t="s">
        <v>842</v>
      </c>
      <c r="AD26" s="68"/>
      <c r="AE26" s="68" t="b">
        <v>0</v>
      </c>
      <c r="AF26" s="68">
        <v>0</v>
      </c>
      <c r="AG26" s="73" t="s">
        <v>282</v>
      </c>
      <c r="AH26" s="68" t="b">
        <v>0</v>
      </c>
      <c r="AI26" s="68" t="s">
        <v>283</v>
      </c>
      <c r="AJ26" s="68"/>
      <c r="AK26" s="73" t="s">
        <v>282</v>
      </c>
      <c r="AL26" s="68" t="b">
        <v>0</v>
      </c>
      <c r="AM26" s="68">
        <v>68</v>
      </c>
      <c r="AN26" s="73" t="s">
        <v>845</v>
      </c>
      <c r="AO26" s="73" t="s">
        <v>284</v>
      </c>
      <c r="AP26" s="68" t="b">
        <v>0</v>
      </c>
      <c r="AQ26" s="73" t="s">
        <v>845</v>
      </c>
      <c r="AR26" s="68" t="s">
        <v>218</v>
      </c>
      <c r="AS26" s="68">
        <v>0</v>
      </c>
      <c r="AT26" s="68">
        <v>0</v>
      </c>
      <c r="AU26" s="68"/>
      <c r="AV26" s="68"/>
      <c r="AW26" s="68"/>
      <c r="AX26" s="68"/>
      <c r="AY26" s="68"/>
      <c r="AZ26" s="68"/>
      <c r="BA26" s="68"/>
      <c r="BB26" s="68"/>
      <c r="BC26" s="68">
        <v>1</v>
      </c>
      <c r="BD26" s="67" t="str">
        <f>REPLACE(INDEX(GroupVertices[Group],MATCH(Edges[[#This Row],[Vertex 1]],GroupVertices[Vertex],0)),1,1,"")</f>
        <v>5</v>
      </c>
      <c r="BE26" s="67" t="str">
        <f>REPLACE(INDEX(GroupVertices[Group],MATCH(Edges[[#This Row],[Vertex 2]],GroupVertices[Vertex],0)),1,1,"")</f>
        <v>5</v>
      </c>
      <c r="BF26" s="49">
        <v>0</v>
      </c>
      <c r="BG26" s="50">
        <v>0</v>
      </c>
      <c r="BH26" s="49">
        <v>0</v>
      </c>
      <c r="BI26" s="50">
        <v>0</v>
      </c>
      <c r="BJ26" s="49">
        <v>0</v>
      </c>
      <c r="BK26" s="50">
        <v>0</v>
      </c>
      <c r="BL26" s="49">
        <v>45</v>
      </c>
      <c r="BM26" s="50">
        <v>100</v>
      </c>
      <c r="BN26" s="49">
        <v>45</v>
      </c>
    </row>
    <row r="27" spans="1:66" ht="15">
      <c r="A27" s="66" t="s">
        <v>559</v>
      </c>
      <c r="B27" s="66" t="s">
        <v>561</v>
      </c>
      <c r="C27" s="84" t="s">
        <v>538</v>
      </c>
      <c r="D27" s="94">
        <v>5</v>
      </c>
      <c r="E27" s="84"/>
      <c r="F27" s="96">
        <v>50</v>
      </c>
      <c r="G27" s="84"/>
      <c r="H27" s="82"/>
      <c r="I27" s="97"/>
      <c r="J27" s="97"/>
      <c r="K27" s="35" t="s">
        <v>65</v>
      </c>
      <c r="L27" s="98">
        <v>27</v>
      </c>
      <c r="M27" s="98"/>
      <c r="N27" s="99"/>
      <c r="O27" s="68" t="s">
        <v>262</v>
      </c>
      <c r="P27" s="70">
        <v>44696.582280092596</v>
      </c>
      <c r="Q27" s="68" t="s">
        <v>666</v>
      </c>
      <c r="R27" s="68"/>
      <c r="S27" s="68"/>
      <c r="T27" s="73" t="s">
        <v>712</v>
      </c>
      <c r="U27" s="68"/>
      <c r="V27" s="72" t="str">
        <f>HYPERLINK("https://pbs.twimg.com/profile_images/1317056521793142785/iGbW_tKz_normal.jpg")</f>
        <v>https://pbs.twimg.com/profile_images/1317056521793142785/iGbW_tKz_normal.jpg</v>
      </c>
      <c r="W27" s="70">
        <v>44696.582280092596</v>
      </c>
      <c r="X27" s="75">
        <v>44696</v>
      </c>
      <c r="Y27" s="73" t="s">
        <v>740</v>
      </c>
      <c r="Z27" s="72" t="str">
        <f>HYPERLINK("https://twitter.com/muribond/status/1525838028215812097")</f>
        <v>https://twitter.com/muribond/status/1525838028215812097</v>
      </c>
      <c r="AA27" s="68"/>
      <c r="AB27" s="68"/>
      <c r="AC27" s="73" t="s">
        <v>843</v>
      </c>
      <c r="AD27" s="68"/>
      <c r="AE27" s="68" t="b">
        <v>0</v>
      </c>
      <c r="AF27" s="68">
        <v>0</v>
      </c>
      <c r="AG27" s="73" t="s">
        <v>282</v>
      </c>
      <c r="AH27" s="68" t="b">
        <v>0</v>
      </c>
      <c r="AI27" s="68" t="s">
        <v>283</v>
      </c>
      <c r="AJ27" s="68"/>
      <c r="AK27" s="73" t="s">
        <v>282</v>
      </c>
      <c r="AL27" s="68" t="b">
        <v>0</v>
      </c>
      <c r="AM27" s="68">
        <v>68</v>
      </c>
      <c r="AN27" s="73" t="s">
        <v>845</v>
      </c>
      <c r="AO27" s="73" t="s">
        <v>947</v>
      </c>
      <c r="AP27" s="68" t="b">
        <v>0</v>
      </c>
      <c r="AQ27" s="73" t="s">
        <v>845</v>
      </c>
      <c r="AR27" s="68" t="s">
        <v>218</v>
      </c>
      <c r="AS27" s="68">
        <v>0</v>
      </c>
      <c r="AT27" s="68">
        <v>0</v>
      </c>
      <c r="AU27" s="68"/>
      <c r="AV27" s="68"/>
      <c r="AW27" s="68"/>
      <c r="AX27" s="68"/>
      <c r="AY27" s="68"/>
      <c r="AZ27" s="68"/>
      <c r="BA27" s="68"/>
      <c r="BB27" s="68"/>
      <c r="BC27" s="68">
        <v>1</v>
      </c>
      <c r="BD27" s="67" t="str">
        <f>REPLACE(INDEX(GroupVertices[Group],MATCH(Edges[[#This Row],[Vertex 1]],GroupVertices[Vertex],0)),1,1,"")</f>
        <v>5</v>
      </c>
      <c r="BE27" s="67" t="str">
        <f>REPLACE(INDEX(GroupVertices[Group],MATCH(Edges[[#This Row],[Vertex 2]],GroupVertices[Vertex],0)),1,1,"")</f>
        <v>5</v>
      </c>
      <c r="BF27" s="49">
        <v>0</v>
      </c>
      <c r="BG27" s="50">
        <v>0</v>
      </c>
      <c r="BH27" s="49">
        <v>0</v>
      </c>
      <c r="BI27" s="50">
        <v>0</v>
      </c>
      <c r="BJ27" s="49">
        <v>0</v>
      </c>
      <c r="BK27" s="50">
        <v>0</v>
      </c>
      <c r="BL27" s="49">
        <v>45</v>
      </c>
      <c r="BM27" s="50">
        <v>100</v>
      </c>
      <c r="BN27" s="49">
        <v>45</v>
      </c>
    </row>
    <row r="28" spans="1:66" ht="15">
      <c r="A28" s="66" t="s">
        <v>560</v>
      </c>
      <c r="B28" s="66" t="s">
        <v>561</v>
      </c>
      <c r="C28" s="84" t="s">
        <v>538</v>
      </c>
      <c r="D28" s="94">
        <v>5</v>
      </c>
      <c r="E28" s="84"/>
      <c r="F28" s="96">
        <v>50</v>
      </c>
      <c r="G28" s="84"/>
      <c r="H28" s="82"/>
      <c r="I28" s="97"/>
      <c r="J28" s="97"/>
      <c r="K28" s="35" t="s">
        <v>65</v>
      </c>
      <c r="L28" s="98">
        <v>28</v>
      </c>
      <c r="M28" s="98"/>
      <c r="N28" s="99"/>
      <c r="O28" s="68" t="s">
        <v>262</v>
      </c>
      <c r="P28" s="70">
        <v>44696.60896990741</v>
      </c>
      <c r="Q28" s="68" t="s">
        <v>666</v>
      </c>
      <c r="R28" s="68"/>
      <c r="S28" s="68"/>
      <c r="T28" s="73" t="s">
        <v>712</v>
      </c>
      <c r="U28" s="68"/>
      <c r="V28" s="72" t="str">
        <f>HYPERLINK("https://pbs.twimg.com/profile_images/1376322234462187526/MkVDkuAa_normal.jpg")</f>
        <v>https://pbs.twimg.com/profile_images/1376322234462187526/MkVDkuAa_normal.jpg</v>
      </c>
      <c r="W28" s="70">
        <v>44696.60896990741</v>
      </c>
      <c r="X28" s="75">
        <v>44696</v>
      </c>
      <c r="Y28" s="73" t="s">
        <v>741</v>
      </c>
      <c r="Z28" s="72" t="str">
        <f>HYPERLINK("https://twitter.com/waziriey17/status/1525847700712873984")</f>
        <v>https://twitter.com/waziriey17/status/1525847700712873984</v>
      </c>
      <c r="AA28" s="68"/>
      <c r="AB28" s="68"/>
      <c r="AC28" s="73" t="s">
        <v>844</v>
      </c>
      <c r="AD28" s="68"/>
      <c r="AE28" s="68" t="b">
        <v>0</v>
      </c>
      <c r="AF28" s="68">
        <v>0</v>
      </c>
      <c r="AG28" s="73" t="s">
        <v>282</v>
      </c>
      <c r="AH28" s="68" t="b">
        <v>0</v>
      </c>
      <c r="AI28" s="68" t="s">
        <v>283</v>
      </c>
      <c r="AJ28" s="68"/>
      <c r="AK28" s="73" t="s">
        <v>282</v>
      </c>
      <c r="AL28" s="68" t="b">
        <v>0</v>
      </c>
      <c r="AM28" s="68">
        <v>68</v>
      </c>
      <c r="AN28" s="73" t="s">
        <v>845</v>
      </c>
      <c r="AO28" s="73" t="s">
        <v>284</v>
      </c>
      <c r="AP28" s="68" t="b">
        <v>0</v>
      </c>
      <c r="AQ28" s="73" t="s">
        <v>845</v>
      </c>
      <c r="AR28" s="68" t="s">
        <v>218</v>
      </c>
      <c r="AS28" s="68">
        <v>0</v>
      </c>
      <c r="AT28" s="68">
        <v>0</v>
      </c>
      <c r="AU28" s="68"/>
      <c r="AV28" s="68"/>
      <c r="AW28" s="68"/>
      <c r="AX28" s="68"/>
      <c r="AY28" s="68"/>
      <c r="AZ28" s="68"/>
      <c r="BA28" s="68"/>
      <c r="BB28" s="68"/>
      <c r="BC28" s="68">
        <v>1</v>
      </c>
      <c r="BD28" s="67" t="str">
        <f>REPLACE(INDEX(GroupVertices[Group],MATCH(Edges[[#This Row],[Vertex 1]],GroupVertices[Vertex],0)),1,1,"")</f>
        <v>5</v>
      </c>
      <c r="BE28" s="67" t="str">
        <f>REPLACE(INDEX(GroupVertices[Group],MATCH(Edges[[#This Row],[Vertex 2]],GroupVertices[Vertex],0)),1,1,"")</f>
        <v>5</v>
      </c>
      <c r="BF28" s="49">
        <v>0</v>
      </c>
      <c r="BG28" s="50">
        <v>0</v>
      </c>
      <c r="BH28" s="49">
        <v>0</v>
      </c>
      <c r="BI28" s="50">
        <v>0</v>
      </c>
      <c r="BJ28" s="49">
        <v>0</v>
      </c>
      <c r="BK28" s="50">
        <v>0</v>
      </c>
      <c r="BL28" s="49">
        <v>45</v>
      </c>
      <c r="BM28" s="50">
        <v>100</v>
      </c>
      <c r="BN28" s="49">
        <v>45</v>
      </c>
    </row>
    <row r="29" spans="1:66" ht="15">
      <c r="A29" s="66" t="s">
        <v>561</v>
      </c>
      <c r="B29" s="66" t="s">
        <v>561</v>
      </c>
      <c r="C29" s="84" t="s">
        <v>2013</v>
      </c>
      <c r="D29" s="94">
        <v>5</v>
      </c>
      <c r="E29" s="84"/>
      <c r="F29" s="96">
        <v>50</v>
      </c>
      <c r="G29" s="84"/>
      <c r="H29" s="82"/>
      <c r="I29" s="97"/>
      <c r="J29" s="97"/>
      <c r="K29" s="35" t="s">
        <v>65</v>
      </c>
      <c r="L29" s="98">
        <v>29</v>
      </c>
      <c r="M29" s="98"/>
      <c r="N29" s="99"/>
      <c r="O29" s="68" t="s">
        <v>218</v>
      </c>
      <c r="P29" s="70">
        <v>44600.20826388889</v>
      </c>
      <c r="Q29" s="68" t="s">
        <v>666</v>
      </c>
      <c r="R29" s="68"/>
      <c r="S29" s="68"/>
      <c r="T29" s="73" t="s">
        <v>712</v>
      </c>
      <c r="U29" s="68"/>
      <c r="V29" s="72" t="str">
        <f>HYPERLINK("https://pbs.twimg.com/profile_images/1482457243559907336/hRHcrV2a_normal.jpg")</f>
        <v>https://pbs.twimg.com/profile_images/1482457243559907336/hRHcrV2a_normal.jpg</v>
      </c>
      <c r="W29" s="70">
        <v>44600.20826388889</v>
      </c>
      <c r="X29" s="75">
        <v>44600</v>
      </c>
      <c r="Y29" s="73" t="s">
        <v>742</v>
      </c>
      <c r="Z29" s="72" t="str">
        <f>HYPERLINK("https://twitter.com/toluogunlesi/status/1490913253702045697")</f>
        <v>https://twitter.com/toluogunlesi/status/1490913253702045697</v>
      </c>
      <c r="AA29" s="68"/>
      <c r="AB29" s="68"/>
      <c r="AC29" s="73" t="s">
        <v>845</v>
      </c>
      <c r="AD29" s="68"/>
      <c r="AE29" s="68" t="b">
        <v>0</v>
      </c>
      <c r="AF29" s="68">
        <v>126</v>
      </c>
      <c r="AG29" s="73" t="s">
        <v>282</v>
      </c>
      <c r="AH29" s="68" t="b">
        <v>0</v>
      </c>
      <c r="AI29" s="68" t="s">
        <v>283</v>
      </c>
      <c r="AJ29" s="68"/>
      <c r="AK29" s="73" t="s">
        <v>282</v>
      </c>
      <c r="AL29" s="68" t="b">
        <v>0</v>
      </c>
      <c r="AM29" s="68">
        <v>68</v>
      </c>
      <c r="AN29" s="73" t="s">
        <v>282</v>
      </c>
      <c r="AO29" s="73" t="s">
        <v>284</v>
      </c>
      <c r="AP29" s="68" t="b">
        <v>0</v>
      </c>
      <c r="AQ29" s="73" t="s">
        <v>845</v>
      </c>
      <c r="AR29" s="68" t="s">
        <v>262</v>
      </c>
      <c r="AS29" s="68">
        <v>0</v>
      </c>
      <c r="AT29" s="68">
        <v>0</v>
      </c>
      <c r="AU29" s="68"/>
      <c r="AV29" s="68"/>
      <c r="AW29" s="68"/>
      <c r="AX29" s="68"/>
      <c r="AY29" s="68"/>
      <c r="AZ29" s="68"/>
      <c r="BA29" s="68"/>
      <c r="BB29" s="68"/>
      <c r="BC29" s="68">
        <v>2</v>
      </c>
      <c r="BD29" s="67" t="str">
        <f>REPLACE(INDEX(GroupVertices[Group],MATCH(Edges[[#This Row],[Vertex 1]],GroupVertices[Vertex],0)),1,1,"")</f>
        <v>5</v>
      </c>
      <c r="BE29" s="67" t="str">
        <f>REPLACE(INDEX(GroupVertices[Group],MATCH(Edges[[#This Row],[Vertex 2]],GroupVertices[Vertex],0)),1,1,"")</f>
        <v>5</v>
      </c>
      <c r="BF29" s="49">
        <v>0</v>
      </c>
      <c r="BG29" s="50">
        <v>0</v>
      </c>
      <c r="BH29" s="49">
        <v>0</v>
      </c>
      <c r="BI29" s="50">
        <v>0</v>
      </c>
      <c r="BJ29" s="49">
        <v>0</v>
      </c>
      <c r="BK29" s="50">
        <v>0</v>
      </c>
      <c r="BL29" s="49">
        <v>45</v>
      </c>
      <c r="BM29" s="50">
        <v>100</v>
      </c>
      <c r="BN29" s="49">
        <v>45</v>
      </c>
    </row>
    <row r="30" spans="1:66" ht="15">
      <c r="A30" s="66" t="s">
        <v>561</v>
      </c>
      <c r="B30" s="66" t="s">
        <v>561</v>
      </c>
      <c r="C30" s="84" t="s">
        <v>2013</v>
      </c>
      <c r="D30" s="94">
        <v>5</v>
      </c>
      <c r="E30" s="84"/>
      <c r="F30" s="96">
        <v>50</v>
      </c>
      <c r="G30" s="84"/>
      <c r="H30" s="82"/>
      <c r="I30" s="97"/>
      <c r="J30" s="97"/>
      <c r="K30" s="35" t="s">
        <v>65</v>
      </c>
      <c r="L30" s="98">
        <v>30</v>
      </c>
      <c r="M30" s="98"/>
      <c r="N30" s="99"/>
      <c r="O30" s="68" t="s">
        <v>262</v>
      </c>
      <c r="P30" s="70">
        <v>44696.51600694445</v>
      </c>
      <c r="Q30" s="68" t="s">
        <v>666</v>
      </c>
      <c r="R30" s="68"/>
      <c r="S30" s="68"/>
      <c r="T30" s="73" t="s">
        <v>712</v>
      </c>
      <c r="U30" s="68"/>
      <c r="V30" s="72" t="str">
        <f>HYPERLINK("https://pbs.twimg.com/profile_images/1482457243559907336/hRHcrV2a_normal.jpg")</f>
        <v>https://pbs.twimg.com/profile_images/1482457243559907336/hRHcrV2a_normal.jpg</v>
      </c>
      <c r="W30" s="70">
        <v>44696.51600694445</v>
      </c>
      <c r="X30" s="75">
        <v>44696</v>
      </c>
      <c r="Y30" s="73" t="s">
        <v>743</v>
      </c>
      <c r="Z30" s="72" t="str">
        <f>HYPERLINK("https://twitter.com/toluogunlesi/status/1525814012985978882")</f>
        <v>https://twitter.com/toluogunlesi/status/1525814012985978882</v>
      </c>
      <c r="AA30" s="68"/>
      <c r="AB30" s="68"/>
      <c r="AC30" s="73" t="s">
        <v>846</v>
      </c>
      <c r="AD30" s="68"/>
      <c r="AE30" s="68" t="b">
        <v>0</v>
      </c>
      <c r="AF30" s="68">
        <v>0</v>
      </c>
      <c r="AG30" s="73" t="s">
        <v>282</v>
      </c>
      <c r="AH30" s="68" t="b">
        <v>0</v>
      </c>
      <c r="AI30" s="68" t="s">
        <v>283</v>
      </c>
      <c r="AJ30" s="68"/>
      <c r="AK30" s="73" t="s">
        <v>282</v>
      </c>
      <c r="AL30" s="68" t="b">
        <v>0</v>
      </c>
      <c r="AM30" s="68">
        <v>68</v>
      </c>
      <c r="AN30" s="73" t="s">
        <v>845</v>
      </c>
      <c r="AO30" s="73" t="s">
        <v>284</v>
      </c>
      <c r="AP30" s="68" t="b">
        <v>0</v>
      </c>
      <c r="AQ30" s="73" t="s">
        <v>845</v>
      </c>
      <c r="AR30" s="68" t="s">
        <v>218</v>
      </c>
      <c r="AS30" s="68">
        <v>0</v>
      </c>
      <c r="AT30" s="68">
        <v>0</v>
      </c>
      <c r="AU30" s="68"/>
      <c r="AV30" s="68"/>
      <c r="AW30" s="68"/>
      <c r="AX30" s="68"/>
      <c r="AY30" s="68"/>
      <c r="AZ30" s="68"/>
      <c r="BA30" s="68"/>
      <c r="BB30" s="68"/>
      <c r="BC30" s="68">
        <v>2</v>
      </c>
      <c r="BD30" s="67" t="str">
        <f>REPLACE(INDEX(GroupVertices[Group],MATCH(Edges[[#This Row],[Vertex 1]],GroupVertices[Vertex],0)),1,1,"")</f>
        <v>5</v>
      </c>
      <c r="BE30" s="67" t="str">
        <f>REPLACE(INDEX(GroupVertices[Group],MATCH(Edges[[#This Row],[Vertex 2]],GroupVertices[Vertex],0)),1,1,"")</f>
        <v>5</v>
      </c>
      <c r="BF30" s="49">
        <v>0</v>
      </c>
      <c r="BG30" s="50">
        <v>0</v>
      </c>
      <c r="BH30" s="49">
        <v>0</v>
      </c>
      <c r="BI30" s="50">
        <v>0</v>
      </c>
      <c r="BJ30" s="49">
        <v>0</v>
      </c>
      <c r="BK30" s="50">
        <v>0</v>
      </c>
      <c r="BL30" s="49">
        <v>45</v>
      </c>
      <c r="BM30" s="50">
        <v>100</v>
      </c>
      <c r="BN30" s="49">
        <v>45</v>
      </c>
    </row>
    <row r="31" spans="1:66" ht="15">
      <c r="A31" s="66" t="s">
        <v>562</v>
      </c>
      <c r="B31" s="66" t="s">
        <v>561</v>
      </c>
      <c r="C31" s="84" t="s">
        <v>538</v>
      </c>
      <c r="D31" s="94">
        <v>5</v>
      </c>
      <c r="E31" s="84"/>
      <c r="F31" s="96">
        <v>50</v>
      </c>
      <c r="G31" s="84"/>
      <c r="H31" s="82"/>
      <c r="I31" s="97"/>
      <c r="J31" s="97"/>
      <c r="K31" s="35" t="s">
        <v>65</v>
      </c>
      <c r="L31" s="98">
        <v>31</v>
      </c>
      <c r="M31" s="98"/>
      <c r="N31" s="99"/>
      <c r="O31" s="68" t="s">
        <v>262</v>
      </c>
      <c r="P31" s="70">
        <v>44696.78623842593</v>
      </c>
      <c r="Q31" s="68" t="s">
        <v>666</v>
      </c>
      <c r="R31" s="68"/>
      <c r="S31" s="68"/>
      <c r="T31" s="73" t="s">
        <v>712</v>
      </c>
      <c r="U31" s="68"/>
      <c r="V31" s="72" t="str">
        <f>HYPERLINK("https://pbs.twimg.com/profile_images/1518508733110034433/Mu1z6aVf_normal.jpg")</f>
        <v>https://pbs.twimg.com/profile_images/1518508733110034433/Mu1z6aVf_normal.jpg</v>
      </c>
      <c r="W31" s="70">
        <v>44696.78623842593</v>
      </c>
      <c r="X31" s="75">
        <v>44696</v>
      </c>
      <c r="Y31" s="73" t="s">
        <v>744</v>
      </c>
      <c r="Z31" s="72" t="str">
        <f>HYPERLINK("https://twitter.com/sololurd/status/1525911941365272577")</f>
        <v>https://twitter.com/sololurd/status/1525911941365272577</v>
      </c>
      <c r="AA31" s="68"/>
      <c r="AB31" s="68"/>
      <c r="AC31" s="73" t="s">
        <v>847</v>
      </c>
      <c r="AD31" s="68"/>
      <c r="AE31" s="68" t="b">
        <v>0</v>
      </c>
      <c r="AF31" s="68">
        <v>0</v>
      </c>
      <c r="AG31" s="73" t="s">
        <v>282</v>
      </c>
      <c r="AH31" s="68" t="b">
        <v>0</v>
      </c>
      <c r="AI31" s="68" t="s">
        <v>283</v>
      </c>
      <c r="AJ31" s="68"/>
      <c r="AK31" s="73" t="s">
        <v>282</v>
      </c>
      <c r="AL31" s="68" t="b">
        <v>0</v>
      </c>
      <c r="AM31" s="68">
        <v>68</v>
      </c>
      <c r="AN31" s="73" t="s">
        <v>845</v>
      </c>
      <c r="AO31" s="73" t="s">
        <v>284</v>
      </c>
      <c r="AP31" s="68" t="b">
        <v>0</v>
      </c>
      <c r="AQ31" s="73" t="s">
        <v>845</v>
      </c>
      <c r="AR31" s="68" t="s">
        <v>218</v>
      </c>
      <c r="AS31" s="68">
        <v>0</v>
      </c>
      <c r="AT31" s="68">
        <v>0</v>
      </c>
      <c r="AU31" s="68"/>
      <c r="AV31" s="68"/>
      <c r="AW31" s="68"/>
      <c r="AX31" s="68"/>
      <c r="AY31" s="68"/>
      <c r="AZ31" s="68"/>
      <c r="BA31" s="68"/>
      <c r="BB31" s="68"/>
      <c r="BC31" s="68">
        <v>1</v>
      </c>
      <c r="BD31" s="67" t="str">
        <f>REPLACE(INDEX(GroupVertices[Group],MATCH(Edges[[#This Row],[Vertex 1]],GroupVertices[Vertex],0)),1,1,"")</f>
        <v>5</v>
      </c>
      <c r="BE31" s="67" t="str">
        <f>REPLACE(INDEX(GroupVertices[Group],MATCH(Edges[[#This Row],[Vertex 2]],GroupVertices[Vertex],0)),1,1,"")</f>
        <v>5</v>
      </c>
      <c r="BF31" s="49">
        <v>0</v>
      </c>
      <c r="BG31" s="50">
        <v>0</v>
      </c>
      <c r="BH31" s="49">
        <v>0</v>
      </c>
      <c r="BI31" s="50">
        <v>0</v>
      </c>
      <c r="BJ31" s="49">
        <v>0</v>
      </c>
      <c r="BK31" s="50">
        <v>0</v>
      </c>
      <c r="BL31" s="49">
        <v>45</v>
      </c>
      <c r="BM31" s="50">
        <v>100</v>
      </c>
      <c r="BN31" s="49">
        <v>45</v>
      </c>
    </row>
    <row r="32" spans="1:66" ht="15">
      <c r="A32" s="66" t="s">
        <v>563</v>
      </c>
      <c r="B32" s="66" t="s">
        <v>563</v>
      </c>
      <c r="C32" s="84" t="s">
        <v>538</v>
      </c>
      <c r="D32" s="94">
        <v>5</v>
      </c>
      <c r="E32" s="84"/>
      <c r="F32" s="96">
        <v>50</v>
      </c>
      <c r="G32" s="84"/>
      <c r="H32" s="82"/>
      <c r="I32" s="97"/>
      <c r="J32" s="97"/>
      <c r="K32" s="35" t="s">
        <v>65</v>
      </c>
      <c r="L32" s="98">
        <v>32</v>
      </c>
      <c r="M32" s="98"/>
      <c r="N32" s="99"/>
      <c r="O32" s="68" t="s">
        <v>218</v>
      </c>
      <c r="P32" s="70">
        <v>44696.81532407407</v>
      </c>
      <c r="Q32" s="68" t="s">
        <v>667</v>
      </c>
      <c r="R32" s="68"/>
      <c r="S32" s="68"/>
      <c r="T32" s="68"/>
      <c r="U32" s="68"/>
      <c r="V32" s="72" t="str">
        <f>HYPERLINK("https://pbs.twimg.com/profile_images/1505662173724708864/8XbOtRBE_normal.jpg")</f>
        <v>https://pbs.twimg.com/profile_images/1505662173724708864/8XbOtRBE_normal.jpg</v>
      </c>
      <c r="W32" s="70">
        <v>44696.81532407407</v>
      </c>
      <c r="X32" s="75">
        <v>44696</v>
      </c>
      <c r="Y32" s="73" t="s">
        <v>745</v>
      </c>
      <c r="Z32" s="72" t="str">
        <f>HYPERLINK("https://twitter.com/tovaobrien/status/1525922481651200000")</f>
        <v>https://twitter.com/tovaobrien/status/1525922481651200000</v>
      </c>
      <c r="AA32" s="68"/>
      <c r="AB32" s="68"/>
      <c r="AC32" s="73" t="s">
        <v>848</v>
      </c>
      <c r="AD32" s="68"/>
      <c r="AE32" s="68" t="b">
        <v>0</v>
      </c>
      <c r="AF32" s="68">
        <v>7</v>
      </c>
      <c r="AG32" s="73" t="s">
        <v>282</v>
      </c>
      <c r="AH32" s="68" t="b">
        <v>0</v>
      </c>
      <c r="AI32" s="68" t="s">
        <v>283</v>
      </c>
      <c r="AJ32" s="68"/>
      <c r="AK32" s="73" t="s">
        <v>282</v>
      </c>
      <c r="AL32" s="68" t="b">
        <v>0</v>
      </c>
      <c r="AM32" s="68">
        <v>0</v>
      </c>
      <c r="AN32" s="73" t="s">
        <v>282</v>
      </c>
      <c r="AO32" s="73" t="s">
        <v>285</v>
      </c>
      <c r="AP32" s="68" t="b">
        <v>0</v>
      </c>
      <c r="AQ32" s="73" t="s">
        <v>848</v>
      </c>
      <c r="AR32" s="68" t="s">
        <v>218</v>
      </c>
      <c r="AS32" s="68">
        <v>0</v>
      </c>
      <c r="AT32" s="68">
        <v>0</v>
      </c>
      <c r="AU32" s="68"/>
      <c r="AV32" s="68"/>
      <c r="AW32" s="68"/>
      <c r="AX32" s="68"/>
      <c r="AY32" s="68"/>
      <c r="AZ32" s="68"/>
      <c r="BA32" s="68"/>
      <c r="BB32" s="68"/>
      <c r="BC32" s="68">
        <v>1</v>
      </c>
      <c r="BD32" s="67" t="str">
        <f>REPLACE(INDEX(GroupVertices[Group],MATCH(Edges[[#This Row],[Vertex 1]],GroupVertices[Vertex],0)),1,1,"")</f>
        <v>2</v>
      </c>
      <c r="BE32" s="67" t="str">
        <f>REPLACE(INDEX(GroupVertices[Group],MATCH(Edges[[#This Row],[Vertex 2]],GroupVertices[Vertex],0)),1,1,"")</f>
        <v>2</v>
      </c>
      <c r="BF32" s="49">
        <v>2</v>
      </c>
      <c r="BG32" s="50">
        <v>3.8461538461538463</v>
      </c>
      <c r="BH32" s="49">
        <v>1</v>
      </c>
      <c r="BI32" s="50">
        <v>1.9230769230769231</v>
      </c>
      <c r="BJ32" s="49">
        <v>0</v>
      </c>
      <c r="BK32" s="50">
        <v>0</v>
      </c>
      <c r="BL32" s="49">
        <v>49</v>
      </c>
      <c r="BM32" s="50">
        <v>94.23076923076923</v>
      </c>
      <c r="BN32" s="49">
        <v>52</v>
      </c>
    </row>
    <row r="33" spans="1:66" ht="15">
      <c r="A33" s="66" t="s">
        <v>564</v>
      </c>
      <c r="B33" s="66" t="s">
        <v>642</v>
      </c>
      <c r="C33" s="84" t="s">
        <v>538</v>
      </c>
      <c r="D33" s="94">
        <v>5</v>
      </c>
      <c r="E33" s="84"/>
      <c r="F33" s="96">
        <v>50</v>
      </c>
      <c r="G33" s="84"/>
      <c r="H33" s="82"/>
      <c r="I33" s="97"/>
      <c r="J33" s="97"/>
      <c r="K33" s="35" t="s">
        <v>65</v>
      </c>
      <c r="L33" s="98">
        <v>33</v>
      </c>
      <c r="M33" s="98"/>
      <c r="N33" s="99"/>
      <c r="O33" s="68" t="s">
        <v>264</v>
      </c>
      <c r="P33" s="70">
        <v>44696.828310185185</v>
      </c>
      <c r="Q33" s="68" t="s">
        <v>668</v>
      </c>
      <c r="R33" s="68"/>
      <c r="S33" s="68"/>
      <c r="T33" s="73" t="s">
        <v>713</v>
      </c>
      <c r="U33" s="72" t="str">
        <f>HYPERLINK("https://pbs.twimg.com/media/FS0sq1YaAAAqw4o.jpg")</f>
        <v>https://pbs.twimg.com/media/FS0sq1YaAAAqw4o.jpg</v>
      </c>
      <c r="V33" s="72" t="str">
        <f>HYPERLINK("https://pbs.twimg.com/media/FS0sq1YaAAAqw4o.jpg")</f>
        <v>https://pbs.twimg.com/media/FS0sq1YaAAAqw4o.jpg</v>
      </c>
      <c r="W33" s="70">
        <v>44696.828310185185</v>
      </c>
      <c r="X33" s="75">
        <v>44696</v>
      </c>
      <c r="Y33" s="73" t="s">
        <v>746</v>
      </c>
      <c r="Z33" s="72" t="str">
        <f>HYPERLINK("https://twitter.com/eco1start/status/1525927189136416768")</f>
        <v>https://twitter.com/eco1start/status/1525927189136416768</v>
      </c>
      <c r="AA33" s="68"/>
      <c r="AB33" s="68"/>
      <c r="AC33" s="73" t="s">
        <v>849</v>
      </c>
      <c r="AD33" s="68"/>
      <c r="AE33" s="68" t="b">
        <v>0</v>
      </c>
      <c r="AF33" s="68">
        <v>0</v>
      </c>
      <c r="AG33" s="73" t="s">
        <v>282</v>
      </c>
      <c r="AH33" s="68" t="b">
        <v>0</v>
      </c>
      <c r="AI33" s="68" t="s">
        <v>283</v>
      </c>
      <c r="AJ33" s="68"/>
      <c r="AK33" s="73" t="s">
        <v>282</v>
      </c>
      <c r="AL33" s="68" t="b">
        <v>0</v>
      </c>
      <c r="AM33" s="68">
        <v>3</v>
      </c>
      <c r="AN33" s="73" t="s">
        <v>891</v>
      </c>
      <c r="AO33" s="73" t="s">
        <v>952</v>
      </c>
      <c r="AP33" s="68" t="b">
        <v>0</v>
      </c>
      <c r="AQ33" s="73" t="s">
        <v>891</v>
      </c>
      <c r="AR33" s="68" t="s">
        <v>218</v>
      </c>
      <c r="AS33" s="68">
        <v>0</v>
      </c>
      <c r="AT33" s="68">
        <v>0</v>
      </c>
      <c r="AU33" s="68"/>
      <c r="AV33" s="68"/>
      <c r="AW33" s="68"/>
      <c r="AX33" s="68"/>
      <c r="AY33" s="68"/>
      <c r="AZ33" s="68"/>
      <c r="BA33" s="68"/>
      <c r="BB33" s="68"/>
      <c r="BC33" s="68">
        <v>1</v>
      </c>
      <c r="BD33" s="67" t="str">
        <f>REPLACE(INDEX(GroupVertices[Group],MATCH(Edges[[#This Row],[Vertex 1]],GroupVertices[Vertex],0)),1,1,"")</f>
        <v>4</v>
      </c>
      <c r="BE33" s="67" t="str">
        <f>REPLACE(INDEX(GroupVertices[Group],MATCH(Edges[[#This Row],[Vertex 2]],GroupVertices[Vertex],0)),1,1,"")</f>
        <v>4</v>
      </c>
      <c r="BF33" s="49"/>
      <c r="BG33" s="50"/>
      <c r="BH33" s="49"/>
      <c r="BI33" s="50"/>
      <c r="BJ33" s="49"/>
      <c r="BK33" s="50"/>
      <c r="BL33" s="49"/>
      <c r="BM33" s="50"/>
      <c r="BN33" s="49"/>
    </row>
    <row r="34" spans="1:66" ht="15">
      <c r="A34" s="66" t="s">
        <v>564</v>
      </c>
      <c r="B34" s="66" t="s">
        <v>603</v>
      </c>
      <c r="C34" s="84" t="s">
        <v>538</v>
      </c>
      <c r="D34" s="94">
        <v>5</v>
      </c>
      <c r="E34" s="84"/>
      <c r="F34" s="96">
        <v>50</v>
      </c>
      <c r="G34" s="84"/>
      <c r="H34" s="82"/>
      <c r="I34" s="97"/>
      <c r="J34" s="97"/>
      <c r="K34" s="35" t="s">
        <v>65</v>
      </c>
      <c r="L34" s="98">
        <v>34</v>
      </c>
      <c r="M34" s="98"/>
      <c r="N34" s="99"/>
      <c r="O34" s="68" t="s">
        <v>262</v>
      </c>
      <c r="P34" s="70">
        <v>44696.828310185185</v>
      </c>
      <c r="Q34" s="68" t="s">
        <v>668</v>
      </c>
      <c r="R34" s="68"/>
      <c r="S34" s="68"/>
      <c r="T34" s="73" t="s">
        <v>713</v>
      </c>
      <c r="U34" s="72" t="str">
        <f>HYPERLINK("https://pbs.twimg.com/media/FS0sq1YaAAAqw4o.jpg")</f>
        <v>https://pbs.twimg.com/media/FS0sq1YaAAAqw4o.jpg</v>
      </c>
      <c r="V34" s="72" t="str">
        <f>HYPERLINK("https://pbs.twimg.com/media/FS0sq1YaAAAqw4o.jpg")</f>
        <v>https://pbs.twimg.com/media/FS0sq1YaAAAqw4o.jpg</v>
      </c>
      <c r="W34" s="70">
        <v>44696.828310185185</v>
      </c>
      <c r="X34" s="75">
        <v>44696</v>
      </c>
      <c r="Y34" s="73" t="s">
        <v>746</v>
      </c>
      <c r="Z34" s="72" t="str">
        <f>HYPERLINK("https://twitter.com/eco1start/status/1525927189136416768")</f>
        <v>https://twitter.com/eco1start/status/1525927189136416768</v>
      </c>
      <c r="AA34" s="68"/>
      <c r="AB34" s="68"/>
      <c r="AC34" s="73" t="s">
        <v>849</v>
      </c>
      <c r="AD34" s="68"/>
      <c r="AE34" s="68" t="b">
        <v>0</v>
      </c>
      <c r="AF34" s="68">
        <v>0</v>
      </c>
      <c r="AG34" s="73" t="s">
        <v>282</v>
      </c>
      <c r="AH34" s="68" t="b">
        <v>0</v>
      </c>
      <c r="AI34" s="68" t="s">
        <v>283</v>
      </c>
      <c r="AJ34" s="68"/>
      <c r="AK34" s="73" t="s">
        <v>282</v>
      </c>
      <c r="AL34" s="68" t="b">
        <v>0</v>
      </c>
      <c r="AM34" s="68">
        <v>3</v>
      </c>
      <c r="AN34" s="73" t="s">
        <v>891</v>
      </c>
      <c r="AO34" s="73" t="s">
        <v>952</v>
      </c>
      <c r="AP34" s="68" t="b">
        <v>0</v>
      </c>
      <c r="AQ34" s="73" t="s">
        <v>891</v>
      </c>
      <c r="AR34" s="68" t="s">
        <v>218</v>
      </c>
      <c r="AS34" s="68">
        <v>0</v>
      </c>
      <c r="AT34" s="68">
        <v>0</v>
      </c>
      <c r="AU34" s="68"/>
      <c r="AV34" s="68"/>
      <c r="AW34" s="68"/>
      <c r="AX34" s="68"/>
      <c r="AY34" s="68"/>
      <c r="AZ34" s="68"/>
      <c r="BA34" s="68"/>
      <c r="BB34" s="68"/>
      <c r="BC34" s="68">
        <v>1</v>
      </c>
      <c r="BD34" s="67" t="str">
        <f>REPLACE(INDEX(GroupVertices[Group],MATCH(Edges[[#This Row],[Vertex 1]],GroupVertices[Vertex],0)),1,1,"")</f>
        <v>4</v>
      </c>
      <c r="BE34" s="67" t="str">
        <f>REPLACE(INDEX(GroupVertices[Group],MATCH(Edges[[#This Row],[Vertex 2]],GroupVertices[Vertex],0)),1,1,"")</f>
        <v>4</v>
      </c>
      <c r="BF34" s="49">
        <v>4</v>
      </c>
      <c r="BG34" s="50">
        <v>40</v>
      </c>
      <c r="BH34" s="49">
        <v>0</v>
      </c>
      <c r="BI34" s="50">
        <v>0</v>
      </c>
      <c r="BJ34" s="49">
        <v>0</v>
      </c>
      <c r="BK34" s="50">
        <v>0</v>
      </c>
      <c r="BL34" s="49">
        <v>6</v>
      </c>
      <c r="BM34" s="50">
        <v>60</v>
      </c>
      <c r="BN34" s="49">
        <v>10</v>
      </c>
    </row>
    <row r="35" spans="1:66" ht="15">
      <c r="A35" s="66" t="s">
        <v>565</v>
      </c>
      <c r="B35" s="66" t="s">
        <v>642</v>
      </c>
      <c r="C35" s="84" t="s">
        <v>538</v>
      </c>
      <c r="D35" s="94">
        <v>5</v>
      </c>
      <c r="E35" s="84"/>
      <c r="F35" s="96">
        <v>50</v>
      </c>
      <c r="G35" s="84"/>
      <c r="H35" s="82"/>
      <c r="I35" s="97"/>
      <c r="J35" s="97"/>
      <c r="K35" s="35" t="s">
        <v>65</v>
      </c>
      <c r="L35" s="98">
        <v>35</v>
      </c>
      <c r="M35" s="98"/>
      <c r="N35" s="99"/>
      <c r="O35" s="68" t="s">
        <v>264</v>
      </c>
      <c r="P35" s="70">
        <v>44696.870833333334</v>
      </c>
      <c r="Q35" s="68" t="s">
        <v>668</v>
      </c>
      <c r="R35" s="68"/>
      <c r="S35" s="68"/>
      <c r="T35" s="73" t="s">
        <v>713</v>
      </c>
      <c r="U35" s="72" t="str">
        <f>HYPERLINK("https://pbs.twimg.com/media/FS0sq1YaAAAqw4o.jpg")</f>
        <v>https://pbs.twimg.com/media/FS0sq1YaAAAqw4o.jpg</v>
      </c>
      <c r="V35" s="72" t="str">
        <f>HYPERLINK("https://pbs.twimg.com/media/FS0sq1YaAAAqw4o.jpg")</f>
        <v>https://pbs.twimg.com/media/FS0sq1YaAAAqw4o.jpg</v>
      </c>
      <c r="W35" s="70">
        <v>44696.870833333334</v>
      </c>
      <c r="X35" s="75">
        <v>44696</v>
      </c>
      <c r="Y35" s="73" t="s">
        <v>747</v>
      </c>
      <c r="Z35" s="72" t="str">
        <f>HYPERLINK("https://twitter.com/urbantui/status/1525942599303188480")</f>
        <v>https://twitter.com/urbantui/status/1525942599303188480</v>
      </c>
      <c r="AA35" s="68"/>
      <c r="AB35" s="68"/>
      <c r="AC35" s="73" t="s">
        <v>850</v>
      </c>
      <c r="AD35" s="68"/>
      <c r="AE35" s="68" t="b">
        <v>0</v>
      </c>
      <c r="AF35" s="68">
        <v>0</v>
      </c>
      <c r="AG35" s="73" t="s">
        <v>282</v>
      </c>
      <c r="AH35" s="68" t="b">
        <v>0</v>
      </c>
      <c r="AI35" s="68" t="s">
        <v>283</v>
      </c>
      <c r="AJ35" s="68"/>
      <c r="AK35" s="73" t="s">
        <v>282</v>
      </c>
      <c r="AL35" s="68" t="b">
        <v>0</v>
      </c>
      <c r="AM35" s="68">
        <v>3</v>
      </c>
      <c r="AN35" s="73" t="s">
        <v>891</v>
      </c>
      <c r="AO35" s="73" t="s">
        <v>284</v>
      </c>
      <c r="AP35" s="68" t="b">
        <v>0</v>
      </c>
      <c r="AQ35" s="73" t="s">
        <v>891</v>
      </c>
      <c r="AR35" s="68" t="s">
        <v>218</v>
      </c>
      <c r="AS35" s="68">
        <v>0</v>
      </c>
      <c r="AT35" s="68">
        <v>0</v>
      </c>
      <c r="AU35" s="68"/>
      <c r="AV35" s="68"/>
      <c r="AW35" s="68"/>
      <c r="AX35" s="68"/>
      <c r="AY35" s="68"/>
      <c r="AZ35" s="68"/>
      <c r="BA35" s="68"/>
      <c r="BB35" s="68"/>
      <c r="BC35" s="68">
        <v>1</v>
      </c>
      <c r="BD35" s="67" t="str">
        <f>REPLACE(INDEX(GroupVertices[Group],MATCH(Edges[[#This Row],[Vertex 1]],GroupVertices[Vertex],0)),1,1,"")</f>
        <v>4</v>
      </c>
      <c r="BE35" s="67" t="str">
        <f>REPLACE(INDEX(GroupVertices[Group],MATCH(Edges[[#This Row],[Vertex 2]],GroupVertices[Vertex],0)),1,1,"")</f>
        <v>4</v>
      </c>
      <c r="BF35" s="49"/>
      <c r="BG35" s="50"/>
      <c r="BH35" s="49"/>
      <c r="BI35" s="50"/>
      <c r="BJ35" s="49"/>
      <c r="BK35" s="50"/>
      <c r="BL35" s="49"/>
      <c r="BM35" s="50"/>
      <c r="BN35" s="49"/>
    </row>
    <row r="36" spans="1:66" ht="15">
      <c r="A36" s="66" t="s">
        <v>565</v>
      </c>
      <c r="B36" s="66" t="s">
        <v>603</v>
      </c>
      <c r="C36" s="84" t="s">
        <v>538</v>
      </c>
      <c r="D36" s="94">
        <v>5</v>
      </c>
      <c r="E36" s="84"/>
      <c r="F36" s="96">
        <v>50</v>
      </c>
      <c r="G36" s="84"/>
      <c r="H36" s="82"/>
      <c r="I36" s="97"/>
      <c r="J36" s="97"/>
      <c r="K36" s="35" t="s">
        <v>65</v>
      </c>
      <c r="L36" s="98">
        <v>36</v>
      </c>
      <c r="M36" s="98"/>
      <c r="N36" s="99"/>
      <c r="O36" s="68" t="s">
        <v>262</v>
      </c>
      <c r="P36" s="70">
        <v>44696.870833333334</v>
      </c>
      <c r="Q36" s="68" t="s">
        <v>668</v>
      </c>
      <c r="R36" s="68"/>
      <c r="S36" s="68"/>
      <c r="T36" s="73" t="s">
        <v>713</v>
      </c>
      <c r="U36" s="72" t="str">
        <f>HYPERLINK("https://pbs.twimg.com/media/FS0sq1YaAAAqw4o.jpg")</f>
        <v>https://pbs.twimg.com/media/FS0sq1YaAAAqw4o.jpg</v>
      </c>
      <c r="V36" s="72" t="str">
        <f>HYPERLINK("https://pbs.twimg.com/media/FS0sq1YaAAAqw4o.jpg")</f>
        <v>https://pbs.twimg.com/media/FS0sq1YaAAAqw4o.jpg</v>
      </c>
      <c r="W36" s="70">
        <v>44696.870833333334</v>
      </c>
      <c r="X36" s="75">
        <v>44696</v>
      </c>
      <c r="Y36" s="73" t="s">
        <v>747</v>
      </c>
      <c r="Z36" s="72" t="str">
        <f>HYPERLINK("https://twitter.com/urbantui/status/1525942599303188480")</f>
        <v>https://twitter.com/urbantui/status/1525942599303188480</v>
      </c>
      <c r="AA36" s="68"/>
      <c r="AB36" s="68"/>
      <c r="AC36" s="73" t="s">
        <v>850</v>
      </c>
      <c r="AD36" s="68"/>
      <c r="AE36" s="68" t="b">
        <v>0</v>
      </c>
      <c r="AF36" s="68">
        <v>0</v>
      </c>
      <c r="AG36" s="73" t="s">
        <v>282</v>
      </c>
      <c r="AH36" s="68" t="b">
        <v>0</v>
      </c>
      <c r="AI36" s="68" t="s">
        <v>283</v>
      </c>
      <c r="AJ36" s="68"/>
      <c r="AK36" s="73" t="s">
        <v>282</v>
      </c>
      <c r="AL36" s="68" t="b">
        <v>0</v>
      </c>
      <c r="AM36" s="68">
        <v>3</v>
      </c>
      <c r="AN36" s="73" t="s">
        <v>891</v>
      </c>
      <c r="AO36" s="73" t="s">
        <v>284</v>
      </c>
      <c r="AP36" s="68" t="b">
        <v>0</v>
      </c>
      <c r="AQ36" s="73" t="s">
        <v>891</v>
      </c>
      <c r="AR36" s="68" t="s">
        <v>218</v>
      </c>
      <c r="AS36" s="68">
        <v>0</v>
      </c>
      <c r="AT36" s="68">
        <v>0</v>
      </c>
      <c r="AU36" s="68"/>
      <c r="AV36" s="68"/>
      <c r="AW36" s="68"/>
      <c r="AX36" s="68"/>
      <c r="AY36" s="68"/>
      <c r="AZ36" s="68"/>
      <c r="BA36" s="68"/>
      <c r="BB36" s="68"/>
      <c r="BC36" s="68">
        <v>1</v>
      </c>
      <c r="BD36" s="67" t="str">
        <f>REPLACE(INDEX(GroupVertices[Group],MATCH(Edges[[#This Row],[Vertex 1]],GroupVertices[Vertex],0)),1,1,"")</f>
        <v>4</v>
      </c>
      <c r="BE36" s="67" t="str">
        <f>REPLACE(INDEX(GroupVertices[Group],MATCH(Edges[[#This Row],[Vertex 2]],GroupVertices[Vertex],0)),1,1,"")</f>
        <v>4</v>
      </c>
      <c r="BF36" s="49">
        <v>4</v>
      </c>
      <c r="BG36" s="50">
        <v>40</v>
      </c>
      <c r="BH36" s="49">
        <v>0</v>
      </c>
      <c r="BI36" s="50">
        <v>0</v>
      </c>
      <c r="BJ36" s="49">
        <v>0</v>
      </c>
      <c r="BK36" s="50">
        <v>0</v>
      </c>
      <c r="BL36" s="49">
        <v>6</v>
      </c>
      <c r="BM36" s="50">
        <v>60</v>
      </c>
      <c r="BN36" s="49">
        <v>10</v>
      </c>
    </row>
    <row r="37" spans="1:66" ht="15">
      <c r="A37" s="66" t="s">
        <v>566</v>
      </c>
      <c r="B37" s="66" t="s">
        <v>642</v>
      </c>
      <c r="C37" s="84" t="s">
        <v>538</v>
      </c>
      <c r="D37" s="94">
        <v>5</v>
      </c>
      <c r="E37" s="84"/>
      <c r="F37" s="96">
        <v>50</v>
      </c>
      <c r="G37" s="84"/>
      <c r="H37" s="82"/>
      <c r="I37" s="97"/>
      <c r="J37" s="97"/>
      <c r="K37" s="35" t="s">
        <v>65</v>
      </c>
      <c r="L37" s="98">
        <v>37</v>
      </c>
      <c r="M37" s="98"/>
      <c r="N37" s="99"/>
      <c r="O37" s="68" t="s">
        <v>264</v>
      </c>
      <c r="P37" s="70">
        <v>44696.908321759256</v>
      </c>
      <c r="Q37" s="68" t="s">
        <v>668</v>
      </c>
      <c r="R37" s="68"/>
      <c r="S37" s="68"/>
      <c r="T37" s="73" t="s">
        <v>713</v>
      </c>
      <c r="U37" s="72" t="str">
        <f>HYPERLINK("https://pbs.twimg.com/media/FS0sq1YaAAAqw4o.jpg")</f>
        <v>https://pbs.twimg.com/media/FS0sq1YaAAAqw4o.jpg</v>
      </c>
      <c r="V37" s="72" t="str">
        <f>HYPERLINK("https://pbs.twimg.com/media/FS0sq1YaAAAqw4o.jpg")</f>
        <v>https://pbs.twimg.com/media/FS0sq1YaAAAqw4o.jpg</v>
      </c>
      <c r="W37" s="70">
        <v>44696.908321759256</v>
      </c>
      <c r="X37" s="75">
        <v>44696</v>
      </c>
      <c r="Y37" s="73" t="s">
        <v>748</v>
      </c>
      <c r="Z37" s="72" t="str">
        <f>HYPERLINK("https://twitter.com/allantaunt/status/1525956182774382592")</f>
        <v>https://twitter.com/allantaunt/status/1525956182774382592</v>
      </c>
      <c r="AA37" s="68"/>
      <c r="AB37" s="68"/>
      <c r="AC37" s="73" t="s">
        <v>851</v>
      </c>
      <c r="AD37" s="68"/>
      <c r="AE37" s="68" t="b">
        <v>0</v>
      </c>
      <c r="AF37" s="68">
        <v>0</v>
      </c>
      <c r="AG37" s="73" t="s">
        <v>282</v>
      </c>
      <c r="AH37" s="68" t="b">
        <v>0</v>
      </c>
      <c r="AI37" s="68" t="s">
        <v>283</v>
      </c>
      <c r="AJ37" s="68"/>
      <c r="AK37" s="73" t="s">
        <v>282</v>
      </c>
      <c r="AL37" s="68" t="b">
        <v>0</v>
      </c>
      <c r="AM37" s="68">
        <v>3</v>
      </c>
      <c r="AN37" s="73" t="s">
        <v>891</v>
      </c>
      <c r="AO37" s="73" t="s">
        <v>284</v>
      </c>
      <c r="AP37" s="68" t="b">
        <v>0</v>
      </c>
      <c r="AQ37" s="73" t="s">
        <v>891</v>
      </c>
      <c r="AR37" s="68" t="s">
        <v>218</v>
      </c>
      <c r="AS37" s="68">
        <v>0</v>
      </c>
      <c r="AT37" s="68">
        <v>0</v>
      </c>
      <c r="AU37" s="68"/>
      <c r="AV37" s="68"/>
      <c r="AW37" s="68"/>
      <c r="AX37" s="68"/>
      <c r="AY37" s="68"/>
      <c r="AZ37" s="68"/>
      <c r="BA37" s="68"/>
      <c r="BB37" s="68"/>
      <c r="BC37" s="68">
        <v>1</v>
      </c>
      <c r="BD37" s="67" t="str">
        <f>REPLACE(INDEX(GroupVertices[Group],MATCH(Edges[[#This Row],[Vertex 1]],GroupVertices[Vertex],0)),1,1,"")</f>
        <v>4</v>
      </c>
      <c r="BE37" s="67" t="str">
        <f>REPLACE(INDEX(GroupVertices[Group],MATCH(Edges[[#This Row],[Vertex 2]],GroupVertices[Vertex],0)),1,1,"")</f>
        <v>4</v>
      </c>
      <c r="BF37" s="49"/>
      <c r="BG37" s="50"/>
      <c r="BH37" s="49"/>
      <c r="BI37" s="50"/>
      <c r="BJ37" s="49"/>
      <c r="BK37" s="50"/>
      <c r="BL37" s="49"/>
      <c r="BM37" s="50"/>
      <c r="BN37" s="49"/>
    </row>
    <row r="38" spans="1:66" ht="15">
      <c r="A38" s="66" t="s">
        <v>566</v>
      </c>
      <c r="B38" s="66" t="s">
        <v>603</v>
      </c>
      <c r="C38" s="84" t="s">
        <v>538</v>
      </c>
      <c r="D38" s="94">
        <v>5</v>
      </c>
      <c r="E38" s="84"/>
      <c r="F38" s="96">
        <v>50</v>
      </c>
      <c r="G38" s="84"/>
      <c r="H38" s="82"/>
      <c r="I38" s="97"/>
      <c r="J38" s="97"/>
      <c r="K38" s="35" t="s">
        <v>65</v>
      </c>
      <c r="L38" s="98">
        <v>38</v>
      </c>
      <c r="M38" s="98"/>
      <c r="N38" s="99"/>
      <c r="O38" s="68" t="s">
        <v>262</v>
      </c>
      <c r="P38" s="70">
        <v>44696.908321759256</v>
      </c>
      <c r="Q38" s="68" t="s">
        <v>668</v>
      </c>
      <c r="R38" s="68"/>
      <c r="S38" s="68"/>
      <c r="T38" s="73" t="s">
        <v>713</v>
      </c>
      <c r="U38" s="72" t="str">
        <f>HYPERLINK("https://pbs.twimg.com/media/FS0sq1YaAAAqw4o.jpg")</f>
        <v>https://pbs.twimg.com/media/FS0sq1YaAAAqw4o.jpg</v>
      </c>
      <c r="V38" s="72" t="str">
        <f>HYPERLINK("https://pbs.twimg.com/media/FS0sq1YaAAAqw4o.jpg")</f>
        <v>https://pbs.twimg.com/media/FS0sq1YaAAAqw4o.jpg</v>
      </c>
      <c r="W38" s="70">
        <v>44696.908321759256</v>
      </c>
      <c r="X38" s="75">
        <v>44696</v>
      </c>
      <c r="Y38" s="73" t="s">
        <v>748</v>
      </c>
      <c r="Z38" s="72" t="str">
        <f>HYPERLINK("https://twitter.com/allantaunt/status/1525956182774382592")</f>
        <v>https://twitter.com/allantaunt/status/1525956182774382592</v>
      </c>
      <c r="AA38" s="68"/>
      <c r="AB38" s="68"/>
      <c r="AC38" s="73" t="s">
        <v>851</v>
      </c>
      <c r="AD38" s="68"/>
      <c r="AE38" s="68" t="b">
        <v>0</v>
      </c>
      <c r="AF38" s="68">
        <v>0</v>
      </c>
      <c r="AG38" s="73" t="s">
        <v>282</v>
      </c>
      <c r="AH38" s="68" t="b">
        <v>0</v>
      </c>
      <c r="AI38" s="68" t="s">
        <v>283</v>
      </c>
      <c r="AJ38" s="68"/>
      <c r="AK38" s="73" t="s">
        <v>282</v>
      </c>
      <c r="AL38" s="68" t="b">
        <v>0</v>
      </c>
      <c r="AM38" s="68">
        <v>3</v>
      </c>
      <c r="AN38" s="73" t="s">
        <v>891</v>
      </c>
      <c r="AO38" s="73" t="s">
        <v>284</v>
      </c>
      <c r="AP38" s="68" t="b">
        <v>0</v>
      </c>
      <c r="AQ38" s="73" t="s">
        <v>891</v>
      </c>
      <c r="AR38" s="68" t="s">
        <v>218</v>
      </c>
      <c r="AS38" s="68">
        <v>0</v>
      </c>
      <c r="AT38" s="68">
        <v>0</v>
      </c>
      <c r="AU38" s="68"/>
      <c r="AV38" s="68"/>
      <c r="AW38" s="68"/>
      <c r="AX38" s="68"/>
      <c r="AY38" s="68"/>
      <c r="AZ38" s="68"/>
      <c r="BA38" s="68"/>
      <c r="BB38" s="68"/>
      <c r="BC38" s="68">
        <v>1</v>
      </c>
      <c r="BD38" s="67" t="str">
        <f>REPLACE(INDEX(GroupVertices[Group],MATCH(Edges[[#This Row],[Vertex 1]],GroupVertices[Vertex],0)),1,1,"")</f>
        <v>4</v>
      </c>
      <c r="BE38" s="67" t="str">
        <f>REPLACE(INDEX(GroupVertices[Group],MATCH(Edges[[#This Row],[Vertex 2]],GroupVertices[Vertex],0)),1,1,"")</f>
        <v>4</v>
      </c>
      <c r="BF38" s="49">
        <v>4</v>
      </c>
      <c r="BG38" s="50">
        <v>40</v>
      </c>
      <c r="BH38" s="49">
        <v>0</v>
      </c>
      <c r="BI38" s="50">
        <v>0</v>
      </c>
      <c r="BJ38" s="49">
        <v>0</v>
      </c>
      <c r="BK38" s="50">
        <v>0</v>
      </c>
      <c r="BL38" s="49">
        <v>6</v>
      </c>
      <c r="BM38" s="50">
        <v>60</v>
      </c>
      <c r="BN38" s="49">
        <v>10</v>
      </c>
    </row>
    <row r="39" spans="1:66" ht="15">
      <c r="A39" s="66" t="s">
        <v>567</v>
      </c>
      <c r="B39" s="66" t="s">
        <v>570</v>
      </c>
      <c r="C39" s="84" t="s">
        <v>538</v>
      </c>
      <c r="D39" s="94">
        <v>5</v>
      </c>
      <c r="E39" s="84"/>
      <c r="F39" s="96">
        <v>50</v>
      </c>
      <c r="G39" s="84"/>
      <c r="H39" s="82"/>
      <c r="I39" s="97"/>
      <c r="J39" s="97"/>
      <c r="K39" s="35" t="s">
        <v>65</v>
      </c>
      <c r="L39" s="98">
        <v>39</v>
      </c>
      <c r="M39" s="98"/>
      <c r="N39" s="99"/>
      <c r="O39" s="68" t="s">
        <v>264</v>
      </c>
      <c r="P39" s="70">
        <v>44697.00236111111</v>
      </c>
      <c r="Q39" s="68" t="s">
        <v>669</v>
      </c>
      <c r="R39"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9" s="68" t="s">
        <v>269</v>
      </c>
      <c r="T39" s="73" t="s">
        <v>714</v>
      </c>
      <c r="U39" s="68"/>
      <c r="V39" s="72" t="str">
        <f>HYPERLINK("https://pbs.twimg.com/profile_images/968636394208878592/qqOUUqZ8_normal.jpg")</f>
        <v>https://pbs.twimg.com/profile_images/968636394208878592/qqOUUqZ8_normal.jpg</v>
      </c>
      <c r="W39" s="70">
        <v>44697.00236111111</v>
      </c>
      <c r="X39" s="75">
        <v>44697</v>
      </c>
      <c r="Y39" s="73" t="s">
        <v>749</v>
      </c>
      <c r="Z39" s="72" t="str">
        <f>HYPERLINK("https://twitter.com/newshubpolitics/status/1525990262207442944")</f>
        <v>https://twitter.com/newshubpolitics/status/1525990262207442944</v>
      </c>
      <c r="AA39" s="68"/>
      <c r="AB39" s="68"/>
      <c r="AC39" s="73" t="s">
        <v>852</v>
      </c>
      <c r="AD39" s="68"/>
      <c r="AE39" s="68" t="b">
        <v>0</v>
      </c>
      <c r="AF39" s="68">
        <v>0</v>
      </c>
      <c r="AG39" s="73" t="s">
        <v>282</v>
      </c>
      <c r="AH39" s="68" t="b">
        <v>0</v>
      </c>
      <c r="AI39" s="68" t="s">
        <v>283</v>
      </c>
      <c r="AJ39" s="68"/>
      <c r="AK39" s="73" t="s">
        <v>282</v>
      </c>
      <c r="AL39" s="68" t="b">
        <v>0</v>
      </c>
      <c r="AM39" s="68">
        <v>4</v>
      </c>
      <c r="AN39" s="73" t="s">
        <v>856</v>
      </c>
      <c r="AO39" s="73" t="s">
        <v>953</v>
      </c>
      <c r="AP39" s="68" t="b">
        <v>0</v>
      </c>
      <c r="AQ39" s="73" t="s">
        <v>856</v>
      </c>
      <c r="AR39" s="68" t="s">
        <v>218</v>
      </c>
      <c r="AS39" s="68">
        <v>0</v>
      </c>
      <c r="AT39" s="68">
        <v>0</v>
      </c>
      <c r="AU39" s="68"/>
      <c r="AV39" s="68"/>
      <c r="AW39" s="68"/>
      <c r="AX39" s="68"/>
      <c r="AY39" s="68"/>
      <c r="AZ39" s="68"/>
      <c r="BA39" s="68"/>
      <c r="BB39" s="68"/>
      <c r="BC39" s="68">
        <v>1</v>
      </c>
      <c r="BD39" s="67" t="str">
        <f>REPLACE(INDEX(GroupVertices[Group],MATCH(Edges[[#This Row],[Vertex 1]],GroupVertices[Vertex],0)),1,1,"")</f>
        <v>6</v>
      </c>
      <c r="BE39" s="67" t="str">
        <f>REPLACE(INDEX(GroupVertices[Group],MATCH(Edges[[#This Row],[Vertex 2]],GroupVertices[Vertex],0)),1,1,"")</f>
        <v>6</v>
      </c>
      <c r="BF39" s="49"/>
      <c r="BG39" s="50"/>
      <c r="BH39" s="49"/>
      <c r="BI39" s="50"/>
      <c r="BJ39" s="49"/>
      <c r="BK39" s="50"/>
      <c r="BL39" s="49"/>
      <c r="BM39" s="50"/>
      <c r="BN39" s="49"/>
    </row>
    <row r="40" spans="1:66" ht="15">
      <c r="A40" s="66" t="s">
        <v>567</v>
      </c>
      <c r="B40" s="66" t="s">
        <v>569</v>
      </c>
      <c r="C40" s="84" t="s">
        <v>538</v>
      </c>
      <c r="D40" s="94">
        <v>5</v>
      </c>
      <c r="E40" s="84"/>
      <c r="F40" s="96">
        <v>50</v>
      </c>
      <c r="G40" s="84"/>
      <c r="H40" s="82"/>
      <c r="I40" s="97"/>
      <c r="J40" s="97"/>
      <c r="K40" s="35" t="s">
        <v>65</v>
      </c>
      <c r="L40" s="98">
        <v>40</v>
      </c>
      <c r="M40" s="98"/>
      <c r="N40" s="99"/>
      <c r="O40" s="68" t="s">
        <v>262</v>
      </c>
      <c r="P40" s="70">
        <v>44697.00236111111</v>
      </c>
      <c r="Q40" s="68" t="s">
        <v>669</v>
      </c>
      <c r="R40"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0" s="68" t="s">
        <v>269</v>
      </c>
      <c r="T40" s="73" t="s">
        <v>714</v>
      </c>
      <c r="U40" s="68"/>
      <c r="V40" s="72" t="str">
        <f>HYPERLINK("https://pbs.twimg.com/profile_images/968636394208878592/qqOUUqZ8_normal.jpg")</f>
        <v>https://pbs.twimg.com/profile_images/968636394208878592/qqOUUqZ8_normal.jpg</v>
      </c>
      <c r="W40" s="70">
        <v>44697.00236111111</v>
      </c>
      <c r="X40" s="75">
        <v>44697</v>
      </c>
      <c r="Y40" s="73" t="s">
        <v>749</v>
      </c>
      <c r="Z40" s="72" t="str">
        <f>HYPERLINK("https://twitter.com/newshubpolitics/status/1525990262207442944")</f>
        <v>https://twitter.com/newshubpolitics/status/1525990262207442944</v>
      </c>
      <c r="AA40" s="68"/>
      <c r="AB40" s="68"/>
      <c r="AC40" s="73" t="s">
        <v>852</v>
      </c>
      <c r="AD40" s="68"/>
      <c r="AE40" s="68" t="b">
        <v>0</v>
      </c>
      <c r="AF40" s="68">
        <v>0</v>
      </c>
      <c r="AG40" s="73" t="s">
        <v>282</v>
      </c>
      <c r="AH40" s="68" t="b">
        <v>0</v>
      </c>
      <c r="AI40" s="68" t="s">
        <v>283</v>
      </c>
      <c r="AJ40" s="68"/>
      <c r="AK40" s="73" t="s">
        <v>282</v>
      </c>
      <c r="AL40" s="68" t="b">
        <v>0</v>
      </c>
      <c r="AM40" s="68">
        <v>4</v>
      </c>
      <c r="AN40" s="73" t="s">
        <v>856</v>
      </c>
      <c r="AO40" s="73" t="s">
        <v>953</v>
      </c>
      <c r="AP40" s="68" t="b">
        <v>0</v>
      </c>
      <c r="AQ40" s="73" t="s">
        <v>856</v>
      </c>
      <c r="AR40" s="68" t="s">
        <v>218</v>
      </c>
      <c r="AS40" s="68">
        <v>0</v>
      </c>
      <c r="AT40" s="68">
        <v>0</v>
      </c>
      <c r="AU40" s="68"/>
      <c r="AV40" s="68"/>
      <c r="AW40" s="68"/>
      <c r="AX40" s="68"/>
      <c r="AY40" s="68"/>
      <c r="AZ40" s="68"/>
      <c r="BA40" s="68"/>
      <c r="BB40" s="68"/>
      <c r="BC40" s="68">
        <v>1</v>
      </c>
      <c r="BD40" s="67" t="str">
        <f>REPLACE(INDEX(GroupVertices[Group],MATCH(Edges[[#This Row],[Vertex 1]],GroupVertices[Vertex],0)),1,1,"")</f>
        <v>6</v>
      </c>
      <c r="BE40" s="67" t="str">
        <f>REPLACE(INDEX(GroupVertices[Group],MATCH(Edges[[#This Row],[Vertex 2]],GroupVertices[Vertex],0)),1,1,"")</f>
        <v>6</v>
      </c>
      <c r="BF40" s="49">
        <v>1</v>
      </c>
      <c r="BG40" s="50">
        <v>4.761904761904762</v>
      </c>
      <c r="BH40" s="49">
        <v>1</v>
      </c>
      <c r="BI40" s="50">
        <v>4.761904761904762</v>
      </c>
      <c r="BJ40" s="49">
        <v>0</v>
      </c>
      <c r="BK40" s="50">
        <v>0</v>
      </c>
      <c r="BL40" s="49">
        <v>19</v>
      </c>
      <c r="BM40" s="50">
        <v>90.47619047619048</v>
      </c>
      <c r="BN40" s="49">
        <v>21</v>
      </c>
    </row>
    <row r="41" spans="1:66" ht="15">
      <c r="A41" s="66" t="s">
        <v>567</v>
      </c>
      <c r="B41" s="66" t="s">
        <v>567</v>
      </c>
      <c r="C41" s="84" t="s">
        <v>538</v>
      </c>
      <c r="D41" s="94">
        <v>5</v>
      </c>
      <c r="E41" s="84"/>
      <c r="F41" s="96">
        <v>50</v>
      </c>
      <c r="G41" s="84"/>
      <c r="H41" s="82"/>
      <c r="I41" s="97"/>
      <c r="J41" s="97"/>
      <c r="K41" s="35" t="s">
        <v>65</v>
      </c>
      <c r="L41" s="98">
        <v>41</v>
      </c>
      <c r="M41" s="98"/>
      <c r="N41" s="99"/>
      <c r="O41" s="68" t="s">
        <v>218</v>
      </c>
      <c r="P41" s="70">
        <v>44697.00840277778</v>
      </c>
      <c r="Q41" s="68" t="s">
        <v>670</v>
      </c>
      <c r="R41"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41" s="68" t="s">
        <v>269</v>
      </c>
      <c r="T41" s="68"/>
      <c r="U41" s="68"/>
      <c r="V41" s="72" t="str">
        <f>HYPERLINK("https://pbs.twimg.com/profile_images/968636394208878592/qqOUUqZ8_normal.jpg")</f>
        <v>https://pbs.twimg.com/profile_images/968636394208878592/qqOUUqZ8_normal.jpg</v>
      </c>
      <c r="W41" s="70">
        <v>44697.00840277778</v>
      </c>
      <c r="X41" s="75">
        <v>44697</v>
      </c>
      <c r="Y41" s="73" t="s">
        <v>750</v>
      </c>
      <c r="Z41" s="72" t="str">
        <f>HYPERLINK("https://twitter.com/newshubpolitics/status/1525992452712083456")</f>
        <v>https://twitter.com/newshubpolitics/status/1525992452712083456</v>
      </c>
      <c r="AA41" s="68"/>
      <c r="AB41" s="68"/>
      <c r="AC41" s="73" t="s">
        <v>853</v>
      </c>
      <c r="AD41" s="68"/>
      <c r="AE41" s="68" t="b">
        <v>0</v>
      </c>
      <c r="AF41" s="68">
        <v>5</v>
      </c>
      <c r="AG41" s="73" t="s">
        <v>282</v>
      </c>
      <c r="AH41" s="68" t="b">
        <v>0</v>
      </c>
      <c r="AI41" s="68" t="s">
        <v>283</v>
      </c>
      <c r="AJ41" s="68"/>
      <c r="AK41" s="73" t="s">
        <v>282</v>
      </c>
      <c r="AL41" s="68" t="b">
        <v>0</v>
      </c>
      <c r="AM41" s="68">
        <v>1</v>
      </c>
      <c r="AN41" s="73" t="s">
        <v>282</v>
      </c>
      <c r="AO41" s="73" t="s">
        <v>949</v>
      </c>
      <c r="AP41" s="68" t="b">
        <v>0</v>
      </c>
      <c r="AQ41" s="73" t="s">
        <v>853</v>
      </c>
      <c r="AR41" s="68" t="s">
        <v>218</v>
      </c>
      <c r="AS41" s="68">
        <v>0</v>
      </c>
      <c r="AT41" s="68">
        <v>0</v>
      </c>
      <c r="AU41" s="68"/>
      <c r="AV41" s="68"/>
      <c r="AW41" s="68"/>
      <c r="AX41" s="68"/>
      <c r="AY41" s="68"/>
      <c r="AZ41" s="68"/>
      <c r="BA41" s="68"/>
      <c r="BB41" s="68"/>
      <c r="BC41" s="68">
        <v>1</v>
      </c>
      <c r="BD41" s="67" t="str">
        <f>REPLACE(INDEX(GroupVertices[Group],MATCH(Edges[[#This Row],[Vertex 1]],GroupVertices[Vertex],0)),1,1,"")</f>
        <v>6</v>
      </c>
      <c r="BE41" s="67" t="str">
        <f>REPLACE(INDEX(GroupVertices[Group],MATCH(Edges[[#This Row],[Vertex 2]],GroupVertices[Vertex],0)),1,1,"")</f>
        <v>6</v>
      </c>
      <c r="BF41" s="49">
        <v>1</v>
      </c>
      <c r="BG41" s="50">
        <v>6.666666666666667</v>
      </c>
      <c r="BH41" s="49">
        <v>0</v>
      </c>
      <c r="BI41" s="50">
        <v>0</v>
      </c>
      <c r="BJ41" s="49">
        <v>0</v>
      </c>
      <c r="BK41" s="50">
        <v>0</v>
      </c>
      <c r="BL41" s="49">
        <v>14</v>
      </c>
      <c r="BM41" s="50">
        <v>93.33333333333333</v>
      </c>
      <c r="BN41" s="49">
        <v>15</v>
      </c>
    </row>
    <row r="42" spans="1:66" ht="15">
      <c r="A42" s="66" t="s">
        <v>568</v>
      </c>
      <c r="B42" s="66" t="s">
        <v>567</v>
      </c>
      <c r="C42" s="84" t="s">
        <v>538</v>
      </c>
      <c r="D42" s="94">
        <v>5</v>
      </c>
      <c r="E42" s="84"/>
      <c r="F42" s="96">
        <v>50</v>
      </c>
      <c r="G42" s="84"/>
      <c r="H42" s="82"/>
      <c r="I42" s="97"/>
      <c r="J42" s="97"/>
      <c r="K42" s="35" t="s">
        <v>65</v>
      </c>
      <c r="L42" s="98">
        <v>42</v>
      </c>
      <c r="M42" s="98"/>
      <c r="N42" s="99"/>
      <c r="O42" s="68" t="s">
        <v>262</v>
      </c>
      <c r="P42" s="70">
        <v>44697.00907407407</v>
      </c>
      <c r="Q42" s="68" t="s">
        <v>670</v>
      </c>
      <c r="R42"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42" s="68" t="s">
        <v>269</v>
      </c>
      <c r="T42" s="68"/>
      <c r="U42" s="68"/>
      <c r="V42" s="72" t="str">
        <f>HYPERLINK("https://pbs.twimg.com/profile_images/1112640037278015489/NgrI1YcO_normal.png")</f>
        <v>https://pbs.twimg.com/profile_images/1112640037278015489/NgrI1YcO_normal.png</v>
      </c>
      <c r="W42" s="70">
        <v>44697.00907407407</v>
      </c>
      <c r="X42" s="75">
        <v>44697</v>
      </c>
      <c r="Y42" s="73" t="s">
        <v>751</v>
      </c>
      <c r="Z42" s="72" t="str">
        <f>HYPERLINK("https://twitter.com/newshubnz/status/1525992694610153473")</f>
        <v>https://twitter.com/newshubnz/status/1525992694610153473</v>
      </c>
      <c r="AA42" s="68"/>
      <c r="AB42" s="68"/>
      <c r="AC42" s="73" t="s">
        <v>854</v>
      </c>
      <c r="AD42" s="68"/>
      <c r="AE42" s="68" t="b">
        <v>0</v>
      </c>
      <c r="AF42" s="68">
        <v>0</v>
      </c>
      <c r="AG42" s="73" t="s">
        <v>282</v>
      </c>
      <c r="AH42" s="68" t="b">
        <v>0</v>
      </c>
      <c r="AI42" s="68" t="s">
        <v>283</v>
      </c>
      <c r="AJ42" s="68"/>
      <c r="AK42" s="73" t="s">
        <v>282</v>
      </c>
      <c r="AL42" s="68" t="b">
        <v>0</v>
      </c>
      <c r="AM42" s="68">
        <v>1</v>
      </c>
      <c r="AN42" s="73" t="s">
        <v>853</v>
      </c>
      <c r="AO42" s="73" t="s">
        <v>949</v>
      </c>
      <c r="AP42" s="68" t="b">
        <v>0</v>
      </c>
      <c r="AQ42" s="73" t="s">
        <v>853</v>
      </c>
      <c r="AR42" s="68" t="s">
        <v>218</v>
      </c>
      <c r="AS42" s="68">
        <v>0</v>
      </c>
      <c r="AT42" s="68">
        <v>0</v>
      </c>
      <c r="AU42" s="68"/>
      <c r="AV42" s="68"/>
      <c r="AW42" s="68"/>
      <c r="AX42" s="68"/>
      <c r="AY42" s="68"/>
      <c r="AZ42" s="68"/>
      <c r="BA42" s="68"/>
      <c r="BB42" s="68"/>
      <c r="BC42" s="68">
        <v>1</v>
      </c>
      <c r="BD42" s="67" t="str">
        <f>REPLACE(INDEX(GroupVertices[Group],MATCH(Edges[[#This Row],[Vertex 1]],GroupVertices[Vertex],0)),1,1,"")</f>
        <v>6</v>
      </c>
      <c r="BE42" s="67" t="str">
        <f>REPLACE(INDEX(GroupVertices[Group],MATCH(Edges[[#This Row],[Vertex 2]],GroupVertices[Vertex],0)),1,1,"")</f>
        <v>6</v>
      </c>
      <c r="BF42" s="49">
        <v>1</v>
      </c>
      <c r="BG42" s="50">
        <v>6.666666666666667</v>
      </c>
      <c r="BH42" s="49">
        <v>0</v>
      </c>
      <c r="BI42" s="50">
        <v>0</v>
      </c>
      <c r="BJ42" s="49">
        <v>0</v>
      </c>
      <c r="BK42" s="50">
        <v>0</v>
      </c>
      <c r="BL42" s="49">
        <v>14</v>
      </c>
      <c r="BM42" s="50">
        <v>93.33333333333333</v>
      </c>
      <c r="BN42" s="49">
        <v>15</v>
      </c>
    </row>
    <row r="43" spans="1:66" ht="15">
      <c r="A43" s="66" t="s">
        <v>568</v>
      </c>
      <c r="B43" s="66" t="s">
        <v>570</v>
      </c>
      <c r="C43" s="84" t="s">
        <v>538</v>
      </c>
      <c r="D43" s="94">
        <v>5</v>
      </c>
      <c r="E43" s="84"/>
      <c r="F43" s="96">
        <v>50</v>
      </c>
      <c r="G43" s="84"/>
      <c r="H43" s="82"/>
      <c r="I43" s="97"/>
      <c r="J43" s="97"/>
      <c r="K43" s="35" t="s">
        <v>65</v>
      </c>
      <c r="L43" s="98">
        <v>43</v>
      </c>
      <c r="M43" s="98"/>
      <c r="N43" s="99"/>
      <c r="O43" s="68" t="s">
        <v>264</v>
      </c>
      <c r="P43" s="70">
        <v>44697.00232638889</v>
      </c>
      <c r="Q43" s="68" t="s">
        <v>669</v>
      </c>
      <c r="R43"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3" s="68" t="s">
        <v>269</v>
      </c>
      <c r="T43" s="73" t="s">
        <v>714</v>
      </c>
      <c r="U43" s="68"/>
      <c r="V43" s="72" t="str">
        <f>HYPERLINK("https://pbs.twimg.com/profile_images/1112640037278015489/NgrI1YcO_normal.png")</f>
        <v>https://pbs.twimg.com/profile_images/1112640037278015489/NgrI1YcO_normal.png</v>
      </c>
      <c r="W43" s="70">
        <v>44697.00232638889</v>
      </c>
      <c r="X43" s="75">
        <v>44697</v>
      </c>
      <c r="Y43" s="73" t="s">
        <v>752</v>
      </c>
      <c r="Z43" s="72" t="str">
        <f>HYPERLINK("https://twitter.com/newshubnz/status/1525990247925919744")</f>
        <v>https://twitter.com/newshubnz/status/1525990247925919744</v>
      </c>
      <c r="AA43" s="68"/>
      <c r="AB43" s="68"/>
      <c r="AC43" s="73" t="s">
        <v>855</v>
      </c>
      <c r="AD43" s="68"/>
      <c r="AE43" s="68" t="b">
        <v>0</v>
      </c>
      <c r="AF43" s="68">
        <v>0</v>
      </c>
      <c r="AG43" s="73" t="s">
        <v>282</v>
      </c>
      <c r="AH43" s="68" t="b">
        <v>0</v>
      </c>
      <c r="AI43" s="68" t="s">
        <v>283</v>
      </c>
      <c r="AJ43" s="68"/>
      <c r="AK43" s="73" t="s">
        <v>282</v>
      </c>
      <c r="AL43" s="68" t="b">
        <v>0</v>
      </c>
      <c r="AM43" s="68">
        <v>4</v>
      </c>
      <c r="AN43" s="73" t="s">
        <v>856</v>
      </c>
      <c r="AO43" s="73" t="s">
        <v>953</v>
      </c>
      <c r="AP43" s="68" t="b">
        <v>0</v>
      </c>
      <c r="AQ43" s="73" t="s">
        <v>856</v>
      </c>
      <c r="AR43" s="68" t="s">
        <v>218</v>
      </c>
      <c r="AS43" s="68">
        <v>0</v>
      </c>
      <c r="AT43" s="68">
        <v>0</v>
      </c>
      <c r="AU43" s="68"/>
      <c r="AV43" s="68"/>
      <c r="AW43" s="68"/>
      <c r="AX43" s="68"/>
      <c r="AY43" s="68"/>
      <c r="AZ43" s="68"/>
      <c r="BA43" s="68"/>
      <c r="BB43" s="68"/>
      <c r="BC43" s="68">
        <v>1</v>
      </c>
      <c r="BD43" s="67" t="str">
        <f>REPLACE(INDEX(GroupVertices[Group],MATCH(Edges[[#This Row],[Vertex 1]],GroupVertices[Vertex],0)),1,1,"")</f>
        <v>6</v>
      </c>
      <c r="BE43" s="67" t="str">
        <f>REPLACE(INDEX(GroupVertices[Group],MATCH(Edges[[#This Row],[Vertex 2]],GroupVertices[Vertex],0)),1,1,"")</f>
        <v>6</v>
      </c>
      <c r="BF43" s="49"/>
      <c r="BG43" s="50"/>
      <c r="BH43" s="49"/>
      <c r="BI43" s="50"/>
      <c r="BJ43" s="49"/>
      <c r="BK43" s="50"/>
      <c r="BL43" s="49"/>
      <c r="BM43" s="50"/>
      <c r="BN43" s="49"/>
    </row>
    <row r="44" spans="1:66" ht="15">
      <c r="A44" s="66" t="s">
        <v>568</v>
      </c>
      <c r="B44" s="66" t="s">
        <v>569</v>
      </c>
      <c r="C44" s="84" t="s">
        <v>538</v>
      </c>
      <c r="D44" s="94">
        <v>5</v>
      </c>
      <c r="E44" s="84"/>
      <c r="F44" s="96">
        <v>50</v>
      </c>
      <c r="G44" s="84"/>
      <c r="H44" s="82"/>
      <c r="I44" s="97"/>
      <c r="J44" s="97"/>
      <c r="K44" s="35" t="s">
        <v>65</v>
      </c>
      <c r="L44" s="98">
        <v>44</v>
      </c>
      <c r="M44" s="98"/>
      <c r="N44" s="99"/>
      <c r="O44" s="68" t="s">
        <v>262</v>
      </c>
      <c r="P44" s="70">
        <v>44697.00232638889</v>
      </c>
      <c r="Q44" s="68" t="s">
        <v>669</v>
      </c>
      <c r="R44"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4" s="68" t="s">
        <v>269</v>
      </c>
      <c r="T44" s="73" t="s">
        <v>714</v>
      </c>
      <c r="U44" s="68"/>
      <c r="V44" s="72" t="str">
        <f>HYPERLINK("https://pbs.twimg.com/profile_images/1112640037278015489/NgrI1YcO_normal.png")</f>
        <v>https://pbs.twimg.com/profile_images/1112640037278015489/NgrI1YcO_normal.png</v>
      </c>
      <c r="W44" s="70">
        <v>44697.00232638889</v>
      </c>
      <c r="X44" s="75">
        <v>44697</v>
      </c>
      <c r="Y44" s="73" t="s">
        <v>752</v>
      </c>
      <c r="Z44" s="72" t="str">
        <f>HYPERLINK("https://twitter.com/newshubnz/status/1525990247925919744")</f>
        <v>https://twitter.com/newshubnz/status/1525990247925919744</v>
      </c>
      <c r="AA44" s="68"/>
      <c r="AB44" s="68"/>
      <c r="AC44" s="73" t="s">
        <v>855</v>
      </c>
      <c r="AD44" s="68"/>
      <c r="AE44" s="68" t="b">
        <v>0</v>
      </c>
      <c r="AF44" s="68">
        <v>0</v>
      </c>
      <c r="AG44" s="73" t="s">
        <v>282</v>
      </c>
      <c r="AH44" s="68" t="b">
        <v>0</v>
      </c>
      <c r="AI44" s="68" t="s">
        <v>283</v>
      </c>
      <c r="AJ44" s="68"/>
      <c r="AK44" s="73" t="s">
        <v>282</v>
      </c>
      <c r="AL44" s="68" t="b">
        <v>0</v>
      </c>
      <c r="AM44" s="68">
        <v>4</v>
      </c>
      <c r="AN44" s="73" t="s">
        <v>856</v>
      </c>
      <c r="AO44" s="73" t="s">
        <v>953</v>
      </c>
      <c r="AP44" s="68" t="b">
        <v>0</v>
      </c>
      <c r="AQ44" s="73" t="s">
        <v>856</v>
      </c>
      <c r="AR44" s="68" t="s">
        <v>218</v>
      </c>
      <c r="AS44" s="68">
        <v>0</v>
      </c>
      <c r="AT44" s="68">
        <v>0</v>
      </c>
      <c r="AU44" s="68"/>
      <c r="AV44" s="68"/>
      <c r="AW44" s="68"/>
      <c r="AX44" s="68"/>
      <c r="AY44" s="68"/>
      <c r="AZ44" s="68"/>
      <c r="BA44" s="68"/>
      <c r="BB44" s="68"/>
      <c r="BC44" s="68">
        <v>1</v>
      </c>
      <c r="BD44" s="67" t="str">
        <f>REPLACE(INDEX(GroupVertices[Group],MATCH(Edges[[#This Row],[Vertex 1]],GroupVertices[Vertex],0)),1,1,"")</f>
        <v>6</v>
      </c>
      <c r="BE44" s="67" t="str">
        <f>REPLACE(INDEX(GroupVertices[Group],MATCH(Edges[[#This Row],[Vertex 2]],GroupVertices[Vertex],0)),1,1,"")</f>
        <v>6</v>
      </c>
      <c r="BF44" s="49">
        <v>1</v>
      </c>
      <c r="BG44" s="50">
        <v>4.761904761904762</v>
      </c>
      <c r="BH44" s="49">
        <v>1</v>
      </c>
      <c r="BI44" s="50">
        <v>4.761904761904762</v>
      </c>
      <c r="BJ44" s="49">
        <v>0</v>
      </c>
      <c r="BK44" s="50">
        <v>0</v>
      </c>
      <c r="BL44" s="49">
        <v>19</v>
      </c>
      <c r="BM44" s="50">
        <v>90.47619047619048</v>
      </c>
      <c r="BN44" s="49">
        <v>21</v>
      </c>
    </row>
    <row r="45" spans="1:66" ht="15">
      <c r="A45" s="66" t="s">
        <v>569</v>
      </c>
      <c r="B45" s="66" t="s">
        <v>570</v>
      </c>
      <c r="C45" s="84" t="s">
        <v>538</v>
      </c>
      <c r="D45" s="94">
        <v>5</v>
      </c>
      <c r="E45" s="84"/>
      <c r="F45" s="96">
        <v>50</v>
      </c>
      <c r="G45" s="84"/>
      <c r="H45" s="82"/>
      <c r="I45" s="97"/>
      <c r="J45" s="97"/>
      <c r="K45" s="35" t="s">
        <v>66</v>
      </c>
      <c r="L45" s="98">
        <v>45</v>
      </c>
      <c r="M45" s="98"/>
      <c r="N45" s="99"/>
      <c r="O45" s="68" t="s">
        <v>263</v>
      </c>
      <c r="P45" s="70">
        <v>44697.00226851852</v>
      </c>
      <c r="Q45" s="68" t="s">
        <v>669</v>
      </c>
      <c r="R45"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5" s="68" t="s">
        <v>269</v>
      </c>
      <c r="T45" s="73" t="s">
        <v>714</v>
      </c>
      <c r="U45" s="68"/>
      <c r="V45" s="72" t="str">
        <f>HYPERLINK("https://pbs.twimg.com/profile_images/969418395182555136/ssvz_qTA_normal.jpg")</f>
        <v>https://pbs.twimg.com/profile_images/969418395182555136/ssvz_qTA_normal.jpg</v>
      </c>
      <c r="W45" s="70">
        <v>44697.00226851852</v>
      </c>
      <c r="X45" s="75">
        <v>44697</v>
      </c>
      <c r="Y45" s="73" t="s">
        <v>753</v>
      </c>
      <c r="Z45" s="72" t="str">
        <f>HYPERLINK("https://twitter.com/newshubbreaking/status/1525990227004731393")</f>
        <v>https://twitter.com/newshubbreaking/status/1525990227004731393</v>
      </c>
      <c r="AA45" s="68"/>
      <c r="AB45" s="68"/>
      <c r="AC45" s="73" t="s">
        <v>856</v>
      </c>
      <c r="AD45" s="68"/>
      <c r="AE45" s="68" t="b">
        <v>0</v>
      </c>
      <c r="AF45" s="68">
        <v>8</v>
      </c>
      <c r="AG45" s="73" t="s">
        <v>282</v>
      </c>
      <c r="AH45" s="68" t="b">
        <v>0</v>
      </c>
      <c r="AI45" s="68" t="s">
        <v>283</v>
      </c>
      <c r="AJ45" s="68"/>
      <c r="AK45" s="73" t="s">
        <v>282</v>
      </c>
      <c r="AL45" s="68" t="b">
        <v>0</v>
      </c>
      <c r="AM45" s="68">
        <v>4</v>
      </c>
      <c r="AN45" s="73" t="s">
        <v>282</v>
      </c>
      <c r="AO45" s="73" t="s">
        <v>953</v>
      </c>
      <c r="AP45" s="68" t="b">
        <v>0</v>
      </c>
      <c r="AQ45" s="73" t="s">
        <v>856</v>
      </c>
      <c r="AR45" s="68" t="s">
        <v>218</v>
      </c>
      <c r="AS45" s="68">
        <v>0</v>
      </c>
      <c r="AT45" s="68">
        <v>0</v>
      </c>
      <c r="AU45" s="68"/>
      <c r="AV45" s="68"/>
      <c r="AW45" s="68"/>
      <c r="AX45" s="68"/>
      <c r="AY45" s="68"/>
      <c r="AZ45" s="68"/>
      <c r="BA45" s="68"/>
      <c r="BB45" s="68"/>
      <c r="BC45" s="68">
        <v>1</v>
      </c>
      <c r="BD45" s="67" t="str">
        <f>REPLACE(INDEX(GroupVertices[Group],MATCH(Edges[[#This Row],[Vertex 1]],GroupVertices[Vertex],0)),1,1,"")</f>
        <v>6</v>
      </c>
      <c r="BE45" s="67" t="str">
        <f>REPLACE(INDEX(GroupVertices[Group],MATCH(Edges[[#This Row],[Vertex 2]],GroupVertices[Vertex],0)),1,1,"")</f>
        <v>6</v>
      </c>
      <c r="BF45" s="49">
        <v>1</v>
      </c>
      <c r="BG45" s="50">
        <v>4.761904761904762</v>
      </c>
      <c r="BH45" s="49">
        <v>1</v>
      </c>
      <c r="BI45" s="50">
        <v>4.761904761904762</v>
      </c>
      <c r="BJ45" s="49">
        <v>0</v>
      </c>
      <c r="BK45" s="50">
        <v>0</v>
      </c>
      <c r="BL45" s="49">
        <v>19</v>
      </c>
      <c r="BM45" s="50">
        <v>90.47619047619048</v>
      </c>
      <c r="BN45" s="49">
        <v>21</v>
      </c>
    </row>
    <row r="46" spans="1:66" ht="15">
      <c r="A46" s="66" t="s">
        <v>570</v>
      </c>
      <c r="B46" s="66" t="s">
        <v>569</v>
      </c>
      <c r="C46" s="84" t="s">
        <v>538</v>
      </c>
      <c r="D46" s="94">
        <v>5</v>
      </c>
      <c r="E46" s="84"/>
      <c r="F46" s="96">
        <v>50</v>
      </c>
      <c r="G46" s="84"/>
      <c r="H46" s="82"/>
      <c r="I46" s="97"/>
      <c r="J46" s="97"/>
      <c r="K46" s="35" t="s">
        <v>66</v>
      </c>
      <c r="L46" s="98">
        <v>46</v>
      </c>
      <c r="M46" s="98"/>
      <c r="N46" s="99"/>
      <c r="O46" s="68" t="s">
        <v>262</v>
      </c>
      <c r="P46" s="70">
        <v>44697.00578703704</v>
      </c>
      <c r="Q46" s="68" t="s">
        <v>669</v>
      </c>
      <c r="R46"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6" s="68" t="s">
        <v>269</v>
      </c>
      <c r="T46" s="73" t="s">
        <v>714</v>
      </c>
      <c r="U46" s="68"/>
      <c r="V46" s="72" t="str">
        <f>HYPERLINK("https://pbs.twimg.com/profile_images/1404655697048981504/O71R3guV_normal.jpg")</f>
        <v>https://pbs.twimg.com/profile_images/1404655697048981504/O71R3guV_normal.jpg</v>
      </c>
      <c r="W46" s="70">
        <v>44697.00578703704</v>
      </c>
      <c r="X46" s="75">
        <v>44697</v>
      </c>
      <c r="Y46" s="73" t="s">
        <v>754</v>
      </c>
      <c r="Z46" s="72" t="str">
        <f>HYPERLINK("https://twitter.com/jamieensor/status/1525991502954250240")</f>
        <v>https://twitter.com/jamieensor/status/1525991502954250240</v>
      </c>
      <c r="AA46" s="68"/>
      <c r="AB46" s="68"/>
      <c r="AC46" s="73" t="s">
        <v>857</v>
      </c>
      <c r="AD46" s="68"/>
      <c r="AE46" s="68" t="b">
        <v>0</v>
      </c>
      <c r="AF46" s="68">
        <v>0</v>
      </c>
      <c r="AG46" s="73" t="s">
        <v>282</v>
      </c>
      <c r="AH46" s="68" t="b">
        <v>0</v>
      </c>
      <c r="AI46" s="68" t="s">
        <v>283</v>
      </c>
      <c r="AJ46" s="68"/>
      <c r="AK46" s="73" t="s">
        <v>282</v>
      </c>
      <c r="AL46" s="68" t="b">
        <v>0</v>
      </c>
      <c r="AM46" s="68">
        <v>4</v>
      </c>
      <c r="AN46" s="73" t="s">
        <v>856</v>
      </c>
      <c r="AO46" s="73" t="s">
        <v>284</v>
      </c>
      <c r="AP46" s="68" t="b">
        <v>0</v>
      </c>
      <c r="AQ46" s="73" t="s">
        <v>856</v>
      </c>
      <c r="AR46" s="68" t="s">
        <v>218</v>
      </c>
      <c r="AS46" s="68">
        <v>0</v>
      </c>
      <c r="AT46" s="68">
        <v>0</v>
      </c>
      <c r="AU46" s="68"/>
      <c r="AV46" s="68"/>
      <c r="AW46" s="68"/>
      <c r="AX46" s="68"/>
      <c r="AY46" s="68"/>
      <c r="AZ46" s="68"/>
      <c r="BA46" s="68"/>
      <c r="BB46" s="68"/>
      <c r="BC46" s="68">
        <v>1</v>
      </c>
      <c r="BD46" s="67" t="str">
        <f>REPLACE(INDEX(GroupVertices[Group],MATCH(Edges[[#This Row],[Vertex 1]],GroupVertices[Vertex],0)),1,1,"")</f>
        <v>6</v>
      </c>
      <c r="BE46" s="67" t="str">
        <f>REPLACE(INDEX(GroupVertices[Group],MATCH(Edges[[#This Row],[Vertex 2]],GroupVertices[Vertex],0)),1,1,"")</f>
        <v>6</v>
      </c>
      <c r="BF46" s="49">
        <v>1</v>
      </c>
      <c r="BG46" s="50">
        <v>4.761904761904762</v>
      </c>
      <c r="BH46" s="49">
        <v>1</v>
      </c>
      <c r="BI46" s="50">
        <v>4.761904761904762</v>
      </c>
      <c r="BJ46" s="49">
        <v>0</v>
      </c>
      <c r="BK46" s="50">
        <v>0</v>
      </c>
      <c r="BL46" s="49">
        <v>19</v>
      </c>
      <c r="BM46" s="50">
        <v>90.47619047619048</v>
      </c>
      <c r="BN46" s="49">
        <v>21</v>
      </c>
    </row>
    <row r="47" spans="1:66" ht="15">
      <c r="A47" s="66" t="s">
        <v>571</v>
      </c>
      <c r="B47" s="66" t="s">
        <v>570</v>
      </c>
      <c r="C47" s="84" t="s">
        <v>538</v>
      </c>
      <c r="D47" s="94">
        <v>5</v>
      </c>
      <c r="E47" s="84"/>
      <c r="F47" s="96">
        <v>50</v>
      </c>
      <c r="G47" s="84"/>
      <c r="H47" s="82"/>
      <c r="I47" s="97"/>
      <c r="J47" s="97"/>
      <c r="K47" s="35" t="s">
        <v>65</v>
      </c>
      <c r="L47" s="98">
        <v>47</v>
      </c>
      <c r="M47" s="98"/>
      <c r="N47" s="99"/>
      <c r="O47" s="68" t="s">
        <v>264</v>
      </c>
      <c r="P47" s="70">
        <v>44697.00908564815</v>
      </c>
      <c r="Q47" s="68" t="s">
        <v>669</v>
      </c>
      <c r="R47"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7" s="68" t="s">
        <v>269</v>
      </c>
      <c r="T47" s="73" t="s">
        <v>714</v>
      </c>
      <c r="U47" s="68"/>
      <c r="V47" s="72" t="str">
        <f>HYPERLINK("https://pbs.twimg.com/profile_images/1323418755829886976/B1Xeq0XK_normal.jpg")</f>
        <v>https://pbs.twimg.com/profile_images/1323418755829886976/B1Xeq0XK_normal.jpg</v>
      </c>
      <c r="W47" s="70">
        <v>44697.00908564815</v>
      </c>
      <c r="X47" s="75">
        <v>44697</v>
      </c>
      <c r="Y47" s="73" t="s">
        <v>755</v>
      </c>
      <c r="Z47" s="72" t="str">
        <f>HYPERLINK("https://twitter.com/nichols_lindy/status/1525992700360929280")</f>
        <v>https://twitter.com/nichols_lindy/status/1525992700360929280</v>
      </c>
      <c r="AA47" s="68"/>
      <c r="AB47" s="68"/>
      <c r="AC47" s="73" t="s">
        <v>858</v>
      </c>
      <c r="AD47" s="68"/>
      <c r="AE47" s="68" t="b">
        <v>0</v>
      </c>
      <c r="AF47" s="68">
        <v>0</v>
      </c>
      <c r="AG47" s="73" t="s">
        <v>282</v>
      </c>
      <c r="AH47" s="68" t="b">
        <v>0</v>
      </c>
      <c r="AI47" s="68" t="s">
        <v>283</v>
      </c>
      <c r="AJ47" s="68"/>
      <c r="AK47" s="73" t="s">
        <v>282</v>
      </c>
      <c r="AL47" s="68" t="b">
        <v>0</v>
      </c>
      <c r="AM47" s="68">
        <v>4</v>
      </c>
      <c r="AN47" s="73" t="s">
        <v>856</v>
      </c>
      <c r="AO47" s="73" t="s">
        <v>285</v>
      </c>
      <c r="AP47" s="68" t="b">
        <v>0</v>
      </c>
      <c r="AQ47" s="73" t="s">
        <v>856</v>
      </c>
      <c r="AR47" s="68" t="s">
        <v>218</v>
      </c>
      <c r="AS47" s="68">
        <v>0</v>
      </c>
      <c r="AT47" s="68">
        <v>0</v>
      </c>
      <c r="AU47" s="68"/>
      <c r="AV47" s="68"/>
      <c r="AW47" s="68"/>
      <c r="AX47" s="68"/>
      <c r="AY47" s="68"/>
      <c r="AZ47" s="68"/>
      <c r="BA47" s="68"/>
      <c r="BB47" s="68"/>
      <c r="BC47" s="68">
        <v>1</v>
      </c>
      <c r="BD47" s="67" t="str">
        <f>REPLACE(INDEX(GroupVertices[Group],MATCH(Edges[[#This Row],[Vertex 1]],GroupVertices[Vertex],0)),1,1,"")</f>
        <v>6</v>
      </c>
      <c r="BE47" s="67" t="str">
        <f>REPLACE(INDEX(GroupVertices[Group],MATCH(Edges[[#This Row],[Vertex 2]],GroupVertices[Vertex],0)),1,1,"")</f>
        <v>6</v>
      </c>
      <c r="BF47" s="49"/>
      <c r="BG47" s="50"/>
      <c r="BH47" s="49"/>
      <c r="BI47" s="50"/>
      <c r="BJ47" s="49"/>
      <c r="BK47" s="50"/>
      <c r="BL47" s="49"/>
      <c r="BM47" s="50"/>
      <c r="BN47" s="49"/>
    </row>
    <row r="48" spans="1:66" ht="15">
      <c r="A48" s="66" t="s">
        <v>571</v>
      </c>
      <c r="B48" s="66" t="s">
        <v>569</v>
      </c>
      <c r="C48" s="84" t="s">
        <v>538</v>
      </c>
      <c r="D48" s="94">
        <v>5</v>
      </c>
      <c r="E48" s="84"/>
      <c r="F48" s="96">
        <v>50</v>
      </c>
      <c r="G48" s="84"/>
      <c r="H48" s="82"/>
      <c r="I48" s="97"/>
      <c r="J48" s="97"/>
      <c r="K48" s="35" t="s">
        <v>65</v>
      </c>
      <c r="L48" s="98">
        <v>48</v>
      </c>
      <c r="M48" s="98"/>
      <c r="N48" s="99"/>
      <c r="O48" s="68" t="s">
        <v>262</v>
      </c>
      <c r="P48" s="70">
        <v>44697.00908564815</v>
      </c>
      <c r="Q48" s="68" t="s">
        <v>669</v>
      </c>
      <c r="R48"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8" s="68" t="s">
        <v>269</v>
      </c>
      <c r="T48" s="73" t="s">
        <v>714</v>
      </c>
      <c r="U48" s="68"/>
      <c r="V48" s="72" t="str">
        <f>HYPERLINK("https://pbs.twimg.com/profile_images/1323418755829886976/B1Xeq0XK_normal.jpg")</f>
        <v>https://pbs.twimg.com/profile_images/1323418755829886976/B1Xeq0XK_normal.jpg</v>
      </c>
      <c r="W48" s="70">
        <v>44697.00908564815</v>
      </c>
      <c r="X48" s="75">
        <v>44697</v>
      </c>
      <c r="Y48" s="73" t="s">
        <v>755</v>
      </c>
      <c r="Z48" s="72" t="str">
        <f>HYPERLINK("https://twitter.com/nichols_lindy/status/1525992700360929280")</f>
        <v>https://twitter.com/nichols_lindy/status/1525992700360929280</v>
      </c>
      <c r="AA48" s="68"/>
      <c r="AB48" s="68"/>
      <c r="AC48" s="73" t="s">
        <v>858</v>
      </c>
      <c r="AD48" s="68"/>
      <c r="AE48" s="68" t="b">
        <v>0</v>
      </c>
      <c r="AF48" s="68">
        <v>0</v>
      </c>
      <c r="AG48" s="73" t="s">
        <v>282</v>
      </c>
      <c r="AH48" s="68" t="b">
        <v>0</v>
      </c>
      <c r="AI48" s="68" t="s">
        <v>283</v>
      </c>
      <c r="AJ48" s="68"/>
      <c r="AK48" s="73" t="s">
        <v>282</v>
      </c>
      <c r="AL48" s="68" t="b">
        <v>0</v>
      </c>
      <c r="AM48" s="68">
        <v>4</v>
      </c>
      <c r="AN48" s="73" t="s">
        <v>856</v>
      </c>
      <c r="AO48" s="73" t="s">
        <v>285</v>
      </c>
      <c r="AP48" s="68" t="b">
        <v>0</v>
      </c>
      <c r="AQ48" s="73" t="s">
        <v>856</v>
      </c>
      <c r="AR48" s="68" t="s">
        <v>218</v>
      </c>
      <c r="AS48" s="68">
        <v>0</v>
      </c>
      <c r="AT48" s="68">
        <v>0</v>
      </c>
      <c r="AU48" s="68"/>
      <c r="AV48" s="68"/>
      <c r="AW48" s="68"/>
      <c r="AX48" s="68"/>
      <c r="AY48" s="68"/>
      <c r="AZ48" s="68"/>
      <c r="BA48" s="68"/>
      <c r="BB48" s="68"/>
      <c r="BC48" s="68">
        <v>1</v>
      </c>
      <c r="BD48" s="67" t="str">
        <f>REPLACE(INDEX(GroupVertices[Group],MATCH(Edges[[#This Row],[Vertex 1]],GroupVertices[Vertex],0)),1,1,"")</f>
        <v>6</v>
      </c>
      <c r="BE48" s="67" t="str">
        <f>REPLACE(INDEX(GroupVertices[Group],MATCH(Edges[[#This Row],[Vertex 2]],GroupVertices[Vertex],0)),1,1,"")</f>
        <v>6</v>
      </c>
      <c r="BF48" s="49">
        <v>1</v>
      </c>
      <c r="BG48" s="50">
        <v>4.761904761904762</v>
      </c>
      <c r="BH48" s="49">
        <v>1</v>
      </c>
      <c r="BI48" s="50">
        <v>4.761904761904762</v>
      </c>
      <c r="BJ48" s="49">
        <v>0</v>
      </c>
      <c r="BK48" s="50">
        <v>0</v>
      </c>
      <c r="BL48" s="49">
        <v>19</v>
      </c>
      <c r="BM48" s="50">
        <v>90.47619047619048</v>
      </c>
      <c r="BN48" s="49">
        <v>21</v>
      </c>
    </row>
    <row r="49" spans="1:66" ht="15">
      <c r="A49" s="66" t="s">
        <v>572</v>
      </c>
      <c r="B49" s="66" t="s">
        <v>629</v>
      </c>
      <c r="C49" s="84" t="s">
        <v>538</v>
      </c>
      <c r="D49" s="94">
        <v>5</v>
      </c>
      <c r="E49" s="84"/>
      <c r="F49" s="96">
        <v>50</v>
      </c>
      <c r="G49" s="84"/>
      <c r="H49" s="82"/>
      <c r="I49" s="97"/>
      <c r="J49" s="97"/>
      <c r="K49" s="35" t="s">
        <v>65</v>
      </c>
      <c r="L49" s="98">
        <v>49</v>
      </c>
      <c r="M49" s="98"/>
      <c r="N49" s="99"/>
      <c r="O49" s="68" t="s">
        <v>262</v>
      </c>
      <c r="P49" s="70">
        <v>44697.02453703704</v>
      </c>
      <c r="Q49" s="68" t="s">
        <v>671</v>
      </c>
      <c r="R49" s="68"/>
      <c r="S49" s="68"/>
      <c r="T49" s="68"/>
      <c r="U49" s="68"/>
      <c r="V49" s="72" t="str">
        <f>HYPERLINK("https://pbs.twimg.com/profile_images/1260365561910812672/BIg_dVBW_normal.jpg")</f>
        <v>https://pbs.twimg.com/profile_images/1260365561910812672/BIg_dVBW_normal.jpg</v>
      </c>
      <c r="W49" s="70">
        <v>44697.02453703704</v>
      </c>
      <c r="X49" s="75">
        <v>44697</v>
      </c>
      <c r="Y49" s="73" t="s">
        <v>756</v>
      </c>
      <c r="Z49" s="72" t="str">
        <f>HYPERLINK("https://twitter.com/nzgreens/status/1525998297747718144")</f>
        <v>https://twitter.com/nzgreens/status/1525998297747718144</v>
      </c>
      <c r="AA49" s="68"/>
      <c r="AB49" s="68"/>
      <c r="AC49" s="73" t="s">
        <v>859</v>
      </c>
      <c r="AD49" s="68"/>
      <c r="AE49" s="68" t="b">
        <v>0</v>
      </c>
      <c r="AF49" s="68">
        <v>0</v>
      </c>
      <c r="AG49" s="73" t="s">
        <v>282</v>
      </c>
      <c r="AH49" s="68" t="b">
        <v>0</v>
      </c>
      <c r="AI49" s="68" t="s">
        <v>283</v>
      </c>
      <c r="AJ49" s="68"/>
      <c r="AK49" s="73" t="s">
        <v>282</v>
      </c>
      <c r="AL49" s="68" t="b">
        <v>0</v>
      </c>
      <c r="AM49" s="68">
        <v>11</v>
      </c>
      <c r="AN49" s="73" t="s">
        <v>919</v>
      </c>
      <c r="AO49" s="73" t="s">
        <v>284</v>
      </c>
      <c r="AP49" s="68" t="b">
        <v>0</v>
      </c>
      <c r="AQ49" s="73" t="s">
        <v>919</v>
      </c>
      <c r="AR49" s="68" t="s">
        <v>218</v>
      </c>
      <c r="AS49" s="68">
        <v>0</v>
      </c>
      <c r="AT49" s="68">
        <v>0</v>
      </c>
      <c r="AU49" s="68"/>
      <c r="AV49" s="68"/>
      <c r="AW49" s="68"/>
      <c r="AX49" s="68"/>
      <c r="AY49" s="68"/>
      <c r="AZ49" s="68"/>
      <c r="BA49" s="68"/>
      <c r="BB49" s="68"/>
      <c r="BC49" s="68">
        <v>1</v>
      </c>
      <c r="BD49" s="67" t="str">
        <f>REPLACE(INDEX(GroupVertices[Group],MATCH(Edges[[#This Row],[Vertex 1]],GroupVertices[Vertex],0)),1,1,"")</f>
        <v>1</v>
      </c>
      <c r="BE49" s="67" t="str">
        <f>REPLACE(INDEX(GroupVertices[Group],MATCH(Edges[[#This Row],[Vertex 2]],GroupVertices[Vertex],0)),1,1,"")</f>
        <v>1</v>
      </c>
      <c r="BF49" s="49">
        <v>1</v>
      </c>
      <c r="BG49" s="50">
        <v>2.272727272727273</v>
      </c>
      <c r="BH49" s="49">
        <v>0</v>
      </c>
      <c r="BI49" s="50">
        <v>0</v>
      </c>
      <c r="BJ49" s="49">
        <v>0</v>
      </c>
      <c r="BK49" s="50">
        <v>0</v>
      </c>
      <c r="BL49" s="49">
        <v>43</v>
      </c>
      <c r="BM49" s="50">
        <v>97.72727272727273</v>
      </c>
      <c r="BN49" s="49">
        <v>44</v>
      </c>
    </row>
    <row r="50" spans="1:66" ht="15">
      <c r="A50" s="66" t="s">
        <v>573</v>
      </c>
      <c r="B50" s="66" t="s">
        <v>629</v>
      </c>
      <c r="C50" s="84" t="s">
        <v>538</v>
      </c>
      <c r="D50" s="94">
        <v>5</v>
      </c>
      <c r="E50" s="84"/>
      <c r="F50" s="96">
        <v>50</v>
      </c>
      <c r="G50" s="84"/>
      <c r="H50" s="82"/>
      <c r="I50" s="97"/>
      <c r="J50" s="97"/>
      <c r="K50" s="35" t="s">
        <v>65</v>
      </c>
      <c r="L50" s="98">
        <v>50</v>
      </c>
      <c r="M50" s="98"/>
      <c r="N50" s="99"/>
      <c r="O50" s="68" t="s">
        <v>262</v>
      </c>
      <c r="P50" s="70">
        <v>44697.02457175926</v>
      </c>
      <c r="Q50" s="68" t="s">
        <v>671</v>
      </c>
      <c r="R50" s="68"/>
      <c r="S50" s="68"/>
      <c r="T50" s="68"/>
      <c r="U50" s="68"/>
      <c r="V50" s="72" t="str">
        <f>HYPERLINK("https://pbs.twimg.com/profile_images/1523187870848090112/CTQh35SM_normal.jpg")</f>
        <v>https://pbs.twimg.com/profile_images/1523187870848090112/CTQh35SM_normal.jpg</v>
      </c>
      <c r="W50" s="70">
        <v>44697.02457175926</v>
      </c>
      <c r="X50" s="75">
        <v>44697</v>
      </c>
      <c r="Y50" s="73" t="s">
        <v>757</v>
      </c>
      <c r="Z50" s="72" t="str">
        <f>HYPERLINK("https://twitter.com/pearlwendyl/status/1525998308589613057")</f>
        <v>https://twitter.com/pearlwendyl/status/1525998308589613057</v>
      </c>
      <c r="AA50" s="68"/>
      <c r="AB50" s="68"/>
      <c r="AC50" s="73" t="s">
        <v>860</v>
      </c>
      <c r="AD50" s="68"/>
      <c r="AE50" s="68" t="b">
        <v>0</v>
      </c>
      <c r="AF50" s="68">
        <v>0</v>
      </c>
      <c r="AG50" s="73" t="s">
        <v>282</v>
      </c>
      <c r="AH50" s="68" t="b">
        <v>0</v>
      </c>
      <c r="AI50" s="68" t="s">
        <v>283</v>
      </c>
      <c r="AJ50" s="68"/>
      <c r="AK50" s="73" t="s">
        <v>282</v>
      </c>
      <c r="AL50" s="68" t="b">
        <v>0</v>
      </c>
      <c r="AM50" s="68">
        <v>11</v>
      </c>
      <c r="AN50" s="73" t="s">
        <v>919</v>
      </c>
      <c r="AO50" s="73" t="s">
        <v>284</v>
      </c>
      <c r="AP50" s="68" t="b">
        <v>0</v>
      </c>
      <c r="AQ50" s="73" t="s">
        <v>919</v>
      </c>
      <c r="AR50" s="68" t="s">
        <v>218</v>
      </c>
      <c r="AS50" s="68">
        <v>0</v>
      </c>
      <c r="AT50" s="68">
        <v>0</v>
      </c>
      <c r="AU50" s="68"/>
      <c r="AV50" s="68"/>
      <c r="AW50" s="68"/>
      <c r="AX50" s="68"/>
      <c r="AY50" s="68"/>
      <c r="AZ50" s="68"/>
      <c r="BA50" s="68"/>
      <c r="BB50" s="68"/>
      <c r="BC50" s="68">
        <v>1</v>
      </c>
      <c r="BD50" s="67" t="str">
        <f>REPLACE(INDEX(GroupVertices[Group],MATCH(Edges[[#This Row],[Vertex 1]],GroupVertices[Vertex],0)),1,1,"")</f>
        <v>1</v>
      </c>
      <c r="BE50" s="67" t="str">
        <f>REPLACE(INDEX(GroupVertices[Group],MATCH(Edges[[#This Row],[Vertex 2]],GroupVertices[Vertex],0)),1,1,"")</f>
        <v>1</v>
      </c>
      <c r="BF50" s="49">
        <v>1</v>
      </c>
      <c r="BG50" s="50">
        <v>2.272727272727273</v>
      </c>
      <c r="BH50" s="49">
        <v>0</v>
      </c>
      <c r="BI50" s="50">
        <v>0</v>
      </c>
      <c r="BJ50" s="49">
        <v>0</v>
      </c>
      <c r="BK50" s="50">
        <v>0</v>
      </c>
      <c r="BL50" s="49">
        <v>43</v>
      </c>
      <c r="BM50" s="50">
        <v>97.72727272727273</v>
      </c>
      <c r="BN50" s="49">
        <v>44</v>
      </c>
    </row>
    <row r="51" spans="1:66" ht="15">
      <c r="A51" s="66" t="s">
        <v>574</v>
      </c>
      <c r="B51" s="66" t="s">
        <v>629</v>
      </c>
      <c r="C51" s="84" t="s">
        <v>538</v>
      </c>
      <c r="D51" s="94">
        <v>5</v>
      </c>
      <c r="E51" s="84"/>
      <c r="F51" s="96">
        <v>50</v>
      </c>
      <c r="G51" s="84"/>
      <c r="H51" s="82"/>
      <c r="I51" s="97"/>
      <c r="J51" s="97"/>
      <c r="K51" s="35" t="s">
        <v>65</v>
      </c>
      <c r="L51" s="98">
        <v>51</v>
      </c>
      <c r="M51" s="98"/>
      <c r="N51" s="99"/>
      <c r="O51" s="68" t="s">
        <v>262</v>
      </c>
      <c r="P51" s="70">
        <v>44697.024976851855</v>
      </c>
      <c r="Q51" s="68" t="s">
        <v>671</v>
      </c>
      <c r="R51" s="68"/>
      <c r="S51" s="68"/>
      <c r="T51" s="68"/>
      <c r="U51" s="68"/>
      <c r="V51" s="72" t="str">
        <f>HYPERLINK("https://pbs.twimg.com/profile_images/1455124671066611716/bvFYhuO-_normal.jpg")</f>
        <v>https://pbs.twimg.com/profile_images/1455124671066611716/bvFYhuO-_normal.jpg</v>
      </c>
      <c r="W51" s="70">
        <v>44697.024976851855</v>
      </c>
      <c r="X51" s="75">
        <v>44697</v>
      </c>
      <c r="Y51" s="73" t="s">
        <v>758</v>
      </c>
      <c r="Z51" s="72" t="str">
        <f>HYPERLINK("https://twitter.com/alisondesu/status/1525998457885904896")</f>
        <v>https://twitter.com/alisondesu/status/1525998457885904896</v>
      </c>
      <c r="AA51" s="68"/>
      <c r="AB51" s="68"/>
      <c r="AC51" s="73" t="s">
        <v>861</v>
      </c>
      <c r="AD51" s="68"/>
      <c r="AE51" s="68" t="b">
        <v>0</v>
      </c>
      <c r="AF51" s="68">
        <v>0</v>
      </c>
      <c r="AG51" s="73" t="s">
        <v>282</v>
      </c>
      <c r="AH51" s="68" t="b">
        <v>0</v>
      </c>
      <c r="AI51" s="68" t="s">
        <v>283</v>
      </c>
      <c r="AJ51" s="68"/>
      <c r="AK51" s="73" t="s">
        <v>282</v>
      </c>
      <c r="AL51" s="68" t="b">
        <v>0</v>
      </c>
      <c r="AM51" s="68">
        <v>11</v>
      </c>
      <c r="AN51" s="73" t="s">
        <v>919</v>
      </c>
      <c r="AO51" s="73" t="s">
        <v>285</v>
      </c>
      <c r="AP51" s="68" t="b">
        <v>0</v>
      </c>
      <c r="AQ51" s="73" t="s">
        <v>919</v>
      </c>
      <c r="AR51" s="68" t="s">
        <v>218</v>
      </c>
      <c r="AS51" s="68">
        <v>0</v>
      </c>
      <c r="AT51" s="68">
        <v>0</v>
      </c>
      <c r="AU51" s="68"/>
      <c r="AV51" s="68"/>
      <c r="AW51" s="68"/>
      <c r="AX51" s="68"/>
      <c r="AY51" s="68"/>
      <c r="AZ51" s="68"/>
      <c r="BA51" s="68"/>
      <c r="BB51" s="68"/>
      <c r="BC51" s="68">
        <v>1</v>
      </c>
      <c r="BD51" s="67" t="str">
        <f>REPLACE(INDEX(GroupVertices[Group],MATCH(Edges[[#This Row],[Vertex 1]],GroupVertices[Vertex],0)),1,1,"")</f>
        <v>1</v>
      </c>
      <c r="BE51" s="67" t="str">
        <f>REPLACE(INDEX(GroupVertices[Group],MATCH(Edges[[#This Row],[Vertex 2]],GroupVertices[Vertex],0)),1,1,"")</f>
        <v>1</v>
      </c>
      <c r="BF51" s="49">
        <v>1</v>
      </c>
      <c r="BG51" s="50">
        <v>2.272727272727273</v>
      </c>
      <c r="BH51" s="49">
        <v>0</v>
      </c>
      <c r="BI51" s="50">
        <v>0</v>
      </c>
      <c r="BJ51" s="49">
        <v>0</v>
      </c>
      <c r="BK51" s="50">
        <v>0</v>
      </c>
      <c r="BL51" s="49">
        <v>43</v>
      </c>
      <c r="BM51" s="50">
        <v>97.72727272727273</v>
      </c>
      <c r="BN51" s="49">
        <v>44</v>
      </c>
    </row>
    <row r="52" spans="1:66" ht="15">
      <c r="A52" s="66" t="s">
        <v>575</v>
      </c>
      <c r="B52" s="66" t="s">
        <v>629</v>
      </c>
      <c r="C52" s="84" t="s">
        <v>538</v>
      </c>
      <c r="D52" s="94">
        <v>5</v>
      </c>
      <c r="E52" s="84"/>
      <c r="F52" s="96">
        <v>50</v>
      </c>
      <c r="G52" s="84"/>
      <c r="H52" s="82"/>
      <c r="I52" s="97"/>
      <c r="J52" s="97"/>
      <c r="K52" s="35" t="s">
        <v>65</v>
      </c>
      <c r="L52" s="98">
        <v>52</v>
      </c>
      <c r="M52" s="98"/>
      <c r="N52" s="99"/>
      <c r="O52" s="68" t="s">
        <v>262</v>
      </c>
      <c r="P52" s="70">
        <v>44697.02527777778</v>
      </c>
      <c r="Q52" s="68" t="s">
        <v>671</v>
      </c>
      <c r="R52" s="68"/>
      <c r="S52" s="68"/>
      <c r="T52" s="68"/>
      <c r="U52" s="68"/>
      <c r="V52" s="72" t="str">
        <f>HYPERLINK("https://pbs.twimg.com/profile_images/1495303152530489344/FM5MocrY_normal.jpg")</f>
        <v>https://pbs.twimg.com/profile_images/1495303152530489344/FM5MocrY_normal.jpg</v>
      </c>
      <c r="W52" s="70">
        <v>44697.02527777778</v>
      </c>
      <c r="X52" s="75">
        <v>44697</v>
      </c>
      <c r="Y52" s="73" t="s">
        <v>759</v>
      </c>
      <c r="Z52" s="72" t="str">
        <f>HYPERLINK("https://twitter.com/napierinframe/status/1525998565830430721")</f>
        <v>https://twitter.com/napierinframe/status/1525998565830430721</v>
      </c>
      <c r="AA52" s="68"/>
      <c r="AB52" s="68"/>
      <c r="AC52" s="73" t="s">
        <v>862</v>
      </c>
      <c r="AD52" s="68"/>
      <c r="AE52" s="68" t="b">
        <v>0</v>
      </c>
      <c r="AF52" s="68">
        <v>0</v>
      </c>
      <c r="AG52" s="73" t="s">
        <v>282</v>
      </c>
      <c r="AH52" s="68" t="b">
        <v>0</v>
      </c>
      <c r="AI52" s="68" t="s">
        <v>283</v>
      </c>
      <c r="AJ52" s="68"/>
      <c r="AK52" s="73" t="s">
        <v>282</v>
      </c>
      <c r="AL52" s="68" t="b">
        <v>0</v>
      </c>
      <c r="AM52" s="68">
        <v>11</v>
      </c>
      <c r="AN52" s="73" t="s">
        <v>919</v>
      </c>
      <c r="AO52" s="73" t="s">
        <v>285</v>
      </c>
      <c r="AP52" s="68" t="b">
        <v>0</v>
      </c>
      <c r="AQ52" s="73" t="s">
        <v>919</v>
      </c>
      <c r="AR52" s="68" t="s">
        <v>218</v>
      </c>
      <c r="AS52" s="68">
        <v>0</v>
      </c>
      <c r="AT52" s="68">
        <v>0</v>
      </c>
      <c r="AU52" s="68"/>
      <c r="AV52" s="68"/>
      <c r="AW52" s="68"/>
      <c r="AX52" s="68"/>
      <c r="AY52" s="68"/>
      <c r="AZ52" s="68"/>
      <c r="BA52" s="68"/>
      <c r="BB52" s="68"/>
      <c r="BC52" s="68">
        <v>1</v>
      </c>
      <c r="BD52" s="67" t="str">
        <f>REPLACE(INDEX(GroupVertices[Group],MATCH(Edges[[#This Row],[Vertex 1]],GroupVertices[Vertex],0)),1,1,"")</f>
        <v>1</v>
      </c>
      <c r="BE52" s="67" t="str">
        <f>REPLACE(INDEX(GroupVertices[Group],MATCH(Edges[[#This Row],[Vertex 2]],GroupVertices[Vertex],0)),1,1,"")</f>
        <v>1</v>
      </c>
      <c r="BF52" s="49">
        <v>1</v>
      </c>
      <c r="BG52" s="50">
        <v>2.272727272727273</v>
      </c>
      <c r="BH52" s="49">
        <v>0</v>
      </c>
      <c r="BI52" s="50">
        <v>0</v>
      </c>
      <c r="BJ52" s="49">
        <v>0</v>
      </c>
      <c r="BK52" s="50">
        <v>0</v>
      </c>
      <c r="BL52" s="49">
        <v>43</v>
      </c>
      <c r="BM52" s="50">
        <v>97.72727272727273</v>
      </c>
      <c r="BN52" s="49">
        <v>44</v>
      </c>
    </row>
    <row r="53" spans="1:66" ht="15">
      <c r="A53" s="66" t="s">
        <v>576</v>
      </c>
      <c r="B53" s="66" t="s">
        <v>629</v>
      </c>
      <c r="C53" s="84" t="s">
        <v>538</v>
      </c>
      <c r="D53" s="94">
        <v>5</v>
      </c>
      <c r="E53" s="84"/>
      <c r="F53" s="96">
        <v>50</v>
      </c>
      <c r="G53" s="84"/>
      <c r="H53" s="82"/>
      <c r="I53" s="97"/>
      <c r="J53" s="97"/>
      <c r="K53" s="35" t="s">
        <v>65</v>
      </c>
      <c r="L53" s="98">
        <v>53</v>
      </c>
      <c r="M53" s="98"/>
      <c r="N53" s="99"/>
      <c r="O53" s="68" t="s">
        <v>262</v>
      </c>
      <c r="P53" s="70">
        <v>44697.04759259259</v>
      </c>
      <c r="Q53" s="68" t="s">
        <v>671</v>
      </c>
      <c r="R53" s="68"/>
      <c r="S53" s="68"/>
      <c r="T53" s="68"/>
      <c r="U53" s="68"/>
      <c r="V53" s="72" t="str">
        <f>HYPERLINK("https://pbs.twimg.com/profile_images/1382826449627860996/xiuIVyrR_normal.jpg")</f>
        <v>https://pbs.twimg.com/profile_images/1382826449627860996/xiuIVyrR_normal.jpg</v>
      </c>
      <c r="W53" s="70">
        <v>44697.04759259259</v>
      </c>
      <c r="X53" s="75">
        <v>44697</v>
      </c>
      <c r="Y53" s="73" t="s">
        <v>760</v>
      </c>
      <c r="Z53" s="72" t="str">
        <f>HYPERLINK("https://twitter.com/eugeniesage/status/1526006651773657088")</f>
        <v>https://twitter.com/eugeniesage/status/1526006651773657088</v>
      </c>
      <c r="AA53" s="68"/>
      <c r="AB53" s="68"/>
      <c r="AC53" s="73" t="s">
        <v>863</v>
      </c>
      <c r="AD53" s="68"/>
      <c r="AE53" s="68" t="b">
        <v>0</v>
      </c>
      <c r="AF53" s="68">
        <v>0</v>
      </c>
      <c r="AG53" s="73" t="s">
        <v>282</v>
      </c>
      <c r="AH53" s="68" t="b">
        <v>0</v>
      </c>
      <c r="AI53" s="68" t="s">
        <v>283</v>
      </c>
      <c r="AJ53" s="68"/>
      <c r="AK53" s="73" t="s">
        <v>282</v>
      </c>
      <c r="AL53" s="68" t="b">
        <v>0</v>
      </c>
      <c r="AM53" s="68">
        <v>11</v>
      </c>
      <c r="AN53" s="73" t="s">
        <v>919</v>
      </c>
      <c r="AO53" s="73" t="s">
        <v>284</v>
      </c>
      <c r="AP53" s="68" t="b">
        <v>0</v>
      </c>
      <c r="AQ53" s="73" t="s">
        <v>919</v>
      </c>
      <c r="AR53" s="68" t="s">
        <v>218</v>
      </c>
      <c r="AS53" s="68">
        <v>0</v>
      </c>
      <c r="AT53" s="68">
        <v>0</v>
      </c>
      <c r="AU53" s="68"/>
      <c r="AV53" s="68"/>
      <c r="AW53" s="68"/>
      <c r="AX53" s="68"/>
      <c r="AY53" s="68"/>
      <c r="AZ53" s="68"/>
      <c r="BA53" s="68"/>
      <c r="BB53" s="68"/>
      <c r="BC53" s="68">
        <v>1</v>
      </c>
      <c r="BD53" s="67" t="str">
        <f>REPLACE(INDEX(GroupVertices[Group],MATCH(Edges[[#This Row],[Vertex 1]],GroupVertices[Vertex],0)),1,1,"")</f>
        <v>1</v>
      </c>
      <c r="BE53" s="67" t="str">
        <f>REPLACE(INDEX(GroupVertices[Group],MATCH(Edges[[#This Row],[Vertex 2]],GroupVertices[Vertex],0)),1,1,"")</f>
        <v>1</v>
      </c>
      <c r="BF53" s="49">
        <v>1</v>
      </c>
      <c r="BG53" s="50">
        <v>2.272727272727273</v>
      </c>
      <c r="BH53" s="49">
        <v>0</v>
      </c>
      <c r="BI53" s="50">
        <v>0</v>
      </c>
      <c r="BJ53" s="49">
        <v>0</v>
      </c>
      <c r="BK53" s="50">
        <v>0</v>
      </c>
      <c r="BL53" s="49">
        <v>43</v>
      </c>
      <c r="BM53" s="50">
        <v>97.72727272727273</v>
      </c>
      <c r="BN53" s="49">
        <v>44</v>
      </c>
    </row>
    <row r="54" spans="1:66" ht="15">
      <c r="A54" s="66" t="s">
        <v>577</v>
      </c>
      <c r="B54" s="66" t="s">
        <v>629</v>
      </c>
      <c r="C54" s="84" t="s">
        <v>538</v>
      </c>
      <c r="D54" s="94">
        <v>5</v>
      </c>
      <c r="E54" s="84"/>
      <c r="F54" s="96">
        <v>50</v>
      </c>
      <c r="G54" s="84"/>
      <c r="H54" s="82"/>
      <c r="I54" s="97"/>
      <c r="J54" s="97"/>
      <c r="K54" s="35" t="s">
        <v>65</v>
      </c>
      <c r="L54" s="98">
        <v>54</v>
      </c>
      <c r="M54" s="98"/>
      <c r="N54" s="99"/>
      <c r="O54" s="68" t="s">
        <v>262</v>
      </c>
      <c r="P54" s="70">
        <v>44697.07130787037</v>
      </c>
      <c r="Q54" s="68" t="s">
        <v>672</v>
      </c>
      <c r="R54" s="68"/>
      <c r="S54" s="68"/>
      <c r="T54" s="68"/>
      <c r="U54" s="68"/>
      <c r="V54" s="72" t="str">
        <f>HYPERLINK("https://pbs.twimg.com/profile_images/1483993090163888130/KhvaPeoa_normal.jpg")</f>
        <v>https://pbs.twimg.com/profile_images/1483993090163888130/KhvaPeoa_normal.jpg</v>
      </c>
      <c r="W54" s="70">
        <v>44697.07130787037</v>
      </c>
      <c r="X54" s="75">
        <v>44697</v>
      </c>
      <c r="Y54" s="73" t="s">
        <v>761</v>
      </c>
      <c r="Z54" s="72" t="str">
        <f>HYPERLINK("https://twitter.com/essigna/status/1526015248591114240")</f>
        <v>https://twitter.com/essigna/status/1526015248591114240</v>
      </c>
      <c r="AA54" s="68"/>
      <c r="AB54" s="68"/>
      <c r="AC54" s="73" t="s">
        <v>864</v>
      </c>
      <c r="AD54" s="68"/>
      <c r="AE54" s="68" t="b">
        <v>0</v>
      </c>
      <c r="AF54" s="68">
        <v>0</v>
      </c>
      <c r="AG54" s="73" t="s">
        <v>282</v>
      </c>
      <c r="AH54" s="68" t="b">
        <v>0</v>
      </c>
      <c r="AI54" s="68" t="s">
        <v>283</v>
      </c>
      <c r="AJ54" s="68"/>
      <c r="AK54" s="73" t="s">
        <v>282</v>
      </c>
      <c r="AL54" s="68" t="b">
        <v>0</v>
      </c>
      <c r="AM54" s="68">
        <v>13</v>
      </c>
      <c r="AN54" s="73" t="s">
        <v>920</v>
      </c>
      <c r="AO54" s="73" t="s">
        <v>284</v>
      </c>
      <c r="AP54" s="68" t="b">
        <v>0</v>
      </c>
      <c r="AQ54" s="73" t="s">
        <v>920</v>
      </c>
      <c r="AR54" s="68" t="s">
        <v>218</v>
      </c>
      <c r="AS54" s="68">
        <v>0</v>
      </c>
      <c r="AT54" s="68">
        <v>0</v>
      </c>
      <c r="AU54" s="68"/>
      <c r="AV54" s="68"/>
      <c r="AW54" s="68"/>
      <c r="AX54" s="68"/>
      <c r="AY54" s="68"/>
      <c r="AZ54" s="68"/>
      <c r="BA54" s="68"/>
      <c r="BB54" s="68"/>
      <c r="BC54" s="68">
        <v>1</v>
      </c>
      <c r="BD54" s="67" t="str">
        <f>REPLACE(INDEX(GroupVertices[Group],MATCH(Edges[[#This Row],[Vertex 1]],GroupVertices[Vertex],0)),1,1,"")</f>
        <v>1</v>
      </c>
      <c r="BE54" s="67" t="str">
        <f>REPLACE(INDEX(GroupVertices[Group],MATCH(Edges[[#This Row],[Vertex 2]],GroupVertices[Vertex],0)),1,1,"")</f>
        <v>1</v>
      </c>
      <c r="BF54" s="49">
        <v>2</v>
      </c>
      <c r="BG54" s="50">
        <v>4</v>
      </c>
      <c r="BH54" s="49">
        <v>0</v>
      </c>
      <c r="BI54" s="50">
        <v>0</v>
      </c>
      <c r="BJ54" s="49">
        <v>0</v>
      </c>
      <c r="BK54" s="50">
        <v>0</v>
      </c>
      <c r="BL54" s="49">
        <v>48</v>
      </c>
      <c r="BM54" s="50">
        <v>96</v>
      </c>
      <c r="BN54" s="49">
        <v>50</v>
      </c>
    </row>
    <row r="55" spans="1:66" ht="15">
      <c r="A55" s="66" t="s">
        <v>578</v>
      </c>
      <c r="B55" s="66" t="s">
        <v>629</v>
      </c>
      <c r="C55" s="84" t="s">
        <v>538</v>
      </c>
      <c r="D55" s="94">
        <v>5</v>
      </c>
      <c r="E55" s="84"/>
      <c r="F55" s="96">
        <v>50</v>
      </c>
      <c r="G55" s="84"/>
      <c r="H55" s="82"/>
      <c r="I55" s="97"/>
      <c r="J55" s="97"/>
      <c r="K55" s="35" t="s">
        <v>65</v>
      </c>
      <c r="L55" s="98">
        <v>55</v>
      </c>
      <c r="M55" s="98"/>
      <c r="N55" s="99"/>
      <c r="O55" s="68" t="s">
        <v>262</v>
      </c>
      <c r="P55" s="70">
        <v>44697.085868055554</v>
      </c>
      <c r="Q55" s="68" t="s">
        <v>671</v>
      </c>
      <c r="R55" s="68"/>
      <c r="S55" s="68"/>
      <c r="T55" s="68"/>
      <c r="U55" s="68"/>
      <c r="V55" s="72" t="str">
        <f>HYPERLINK("https://pbs.twimg.com/profile_images/537767884013850624/UUBKong3_normal.jpeg")</f>
        <v>https://pbs.twimg.com/profile_images/537767884013850624/UUBKong3_normal.jpeg</v>
      </c>
      <c r="W55" s="70">
        <v>44697.085868055554</v>
      </c>
      <c r="X55" s="75">
        <v>44697</v>
      </c>
      <c r="Y55" s="73" t="s">
        <v>762</v>
      </c>
      <c r="Z55" s="72" t="str">
        <f>HYPERLINK("https://twitter.com/macilree/status/1526020522131456000")</f>
        <v>https://twitter.com/macilree/status/1526020522131456000</v>
      </c>
      <c r="AA55" s="68"/>
      <c r="AB55" s="68"/>
      <c r="AC55" s="73" t="s">
        <v>865</v>
      </c>
      <c r="AD55" s="68"/>
      <c r="AE55" s="68" t="b">
        <v>0</v>
      </c>
      <c r="AF55" s="68">
        <v>0</v>
      </c>
      <c r="AG55" s="73" t="s">
        <v>282</v>
      </c>
      <c r="AH55" s="68" t="b">
        <v>0</v>
      </c>
      <c r="AI55" s="68" t="s">
        <v>283</v>
      </c>
      <c r="AJ55" s="68"/>
      <c r="AK55" s="73" t="s">
        <v>282</v>
      </c>
      <c r="AL55" s="68" t="b">
        <v>0</v>
      </c>
      <c r="AM55" s="68">
        <v>11</v>
      </c>
      <c r="AN55" s="73" t="s">
        <v>919</v>
      </c>
      <c r="AO55" s="73" t="s">
        <v>950</v>
      </c>
      <c r="AP55" s="68" t="b">
        <v>0</v>
      </c>
      <c r="AQ55" s="73" t="s">
        <v>919</v>
      </c>
      <c r="AR55" s="68" t="s">
        <v>218</v>
      </c>
      <c r="AS55" s="68">
        <v>0</v>
      </c>
      <c r="AT55" s="68">
        <v>0</v>
      </c>
      <c r="AU55" s="68"/>
      <c r="AV55" s="68"/>
      <c r="AW55" s="68"/>
      <c r="AX55" s="68"/>
      <c r="AY55" s="68"/>
      <c r="AZ55" s="68"/>
      <c r="BA55" s="68"/>
      <c r="BB55" s="68"/>
      <c r="BC55" s="68">
        <v>1</v>
      </c>
      <c r="BD55" s="67" t="str">
        <f>REPLACE(INDEX(GroupVertices[Group],MATCH(Edges[[#This Row],[Vertex 1]],GroupVertices[Vertex],0)),1,1,"")</f>
        <v>1</v>
      </c>
      <c r="BE55" s="67" t="str">
        <f>REPLACE(INDEX(GroupVertices[Group],MATCH(Edges[[#This Row],[Vertex 2]],GroupVertices[Vertex],0)),1,1,"")</f>
        <v>1</v>
      </c>
      <c r="BF55" s="49">
        <v>1</v>
      </c>
      <c r="BG55" s="50">
        <v>2.272727272727273</v>
      </c>
      <c r="BH55" s="49">
        <v>0</v>
      </c>
      <c r="BI55" s="50">
        <v>0</v>
      </c>
      <c r="BJ55" s="49">
        <v>0</v>
      </c>
      <c r="BK55" s="50">
        <v>0</v>
      </c>
      <c r="BL55" s="49">
        <v>43</v>
      </c>
      <c r="BM55" s="50">
        <v>97.72727272727273</v>
      </c>
      <c r="BN55" s="49">
        <v>44</v>
      </c>
    </row>
    <row r="56" spans="1:66" ht="15">
      <c r="A56" s="66" t="s">
        <v>579</v>
      </c>
      <c r="B56" s="66" t="s">
        <v>625</v>
      </c>
      <c r="C56" s="84" t="s">
        <v>538</v>
      </c>
      <c r="D56" s="94">
        <v>5</v>
      </c>
      <c r="E56" s="84"/>
      <c r="F56" s="96">
        <v>50</v>
      </c>
      <c r="G56" s="84"/>
      <c r="H56" s="82"/>
      <c r="I56" s="97"/>
      <c r="J56" s="97"/>
      <c r="K56" s="35" t="s">
        <v>65</v>
      </c>
      <c r="L56" s="98">
        <v>56</v>
      </c>
      <c r="M56" s="98"/>
      <c r="N56" s="99"/>
      <c r="O56" s="68" t="s">
        <v>262</v>
      </c>
      <c r="P56" s="70">
        <v>44697.09054398148</v>
      </c>
      <c r="Q56" s="68" t="s">
        <v>673</v>
      </c>
      <c r="R56" s="68"/>
      <c r="S56" s="68"/>
      <c r="T56" s="68"/>
      <c r="U56" s="68"/>
      <c r="V56" s="72" t="str">
        <f>HYPERLINK("https://pbs.twimg.com/profile_images/1524714834314821632/_Pwn3z0M_normal.jpg")</f>
        <v>https://pbs.twimg.com/profile_images/1524714834314821632/_Pwn3z0M_normal.jpg</v>
      </c>
      <c r="W56" s="70">
        <v>44697.09054398148</v>
      </c>
      <c r="X56" s="75">
        <v>44697</v>
      </c>
      <c r="Y56" s="73" t="s">
        <v>763</v>
      </c>
      <c r="Z56" s="72" t="str">
        <f>HYPERLINK("https://twitter.com/uriohau/status/1526022215971774464")</f>
        <v>https://twitter.com/uriohau/status/1526022215971774464</v>
      </c>
      <c r="AA56" s="68"/>
      <c r="AB56" s="68"/>
      <c r="AC56" s="73" t="s">
        <v>866</v>
      </c>
      <c r="AD56" s="68"/>
      <c r="AE56" s="68" t="b">
        <v>0</v>
      </c>
      <c r="AF56" s="68">
        <v>0</v>
      </c>
      <c r="AG56" s="73" t="s">
        <v>282</v>
      </c>
      <c r="AH56" s="68" t="b">
        <v>0</v>
      </c>
      <c r="AI56" s="68" t="s">
        <v>283</v>
      </c>
      <c r="AJ56" s="68"/>
      <c r="AK56" s="73" t="s">
        <v>282</v>
      </c>
      <c r="AL56" s="68" t="b">
        <v>0</v>
      </c>
      <c r="AM56" s="68">
        <v>14</v>
      </c>
      <c r="AN56" s="73" t="s">
        <v>915</v>
      </c>
      <c r="AO56" s="73" t="s">
        <v>947</v>
      </c>
      <c r="AP56" s="68" t="b">
        <v>0</v>
      </c>
      <c r="AQ56" s="73" t="s">
        <v>915</v>
      </c>
      <c r="AR56" s="68" t="s">
        <v>218</v>
      </c>
      <c r="AS56" s="68">
        <v>0</v>
      </c>
      <c r="AT56" s="68">
        <v>0</v>
      </c>
      <c r="AU56" s="68"/>
      <c r="AV56" s="68"/>
      <c r="AW56" s="68"/>
      <c r="AX56" s="68"/>
      <c r="AY56" s="68"/>
      <c r="AZ56" s="68"/>
      <c r="BA56" s="68"/>
      <c r="BB56" s="68"/>
      <c r="BC56" s="68">
        <v>1</v>
      </c>
      <c r="BD56" s="67" t="str">
        <f>REPLACE(INDEX(GroupVertices[Group],MATCH(Edges[[#This Row],[Vertex 1]],GroupVertices[Vertex],0)),1,1,"")</f>
        <v>3</v>
      </c>
      <c r="BE56" s="67" t="str">
        <f>REPLACE(INDEX(GroupVertices[Group],MATCH(Edges[[#This Row],[Vertex 2]],GroupVertices[Vertex],0)),1,1,"")</f>
        <v>3</v>
      </c>
      <c r="BF56" s="49">
        <v>1</v>
      </c>
      <c r="BG56" s="50">
        <v>2.3255813953488373</v>
      </c>
      <c r="BH56" s="49">
        <v>0</v>
      </c>
      <c r="BI56" s="50">
        <v>0</v>
      </c>
      <c r="BJ56" s="49">
        <v>0</v>
      </c>
      <c r="BK56" s="50">
        <v>0</v>
      </c>
      <c r="BL56" s="49">
        <v>42</v>
      </c>
      <c r="BM56" s="50">
        <v>97.67441860465117</v>
      </c>
      <c r="BN56" s="49">
        <v>43</v>
      </c>
    </row>
    <row r="57" spans="1:66" ht="15">
      <c r="A57" s="66" t="s">
        <v>580</v>
      </c>
      <c r="B57" s="66" t="s">
        <v>629</v>
      </c>
      <c r="C57" s="84" t="s">
        <v>538</v>
      </c>
      <c r="D57" s="94">
        <v>5</v>
      </c>
      <c r="E57" s="84"/>
      <c r="F57" s="96">
        <v>50</v>
      </c>
      <c r="G57" s="84"/>
      <c r="H57" s="82"/>
      <c r="I57" s="97"/>
      <c r="J57" s="97"/>
      <c r="K57" s="35" t="s">
        <v>65</v>
      </c>
      <c r="L57" s="98">
        <v>57</v>
      </c>
      <c r="M57" s="98"/>
      <c r="N57" s="99"/>
      <c r="O57" s="68" t="s">
        <v>262</v>
      </c>
      <c r="P57" s="70">
        <v>44697.09342592592</v>
      </c>
      <c r="Q57" s="68" t="s">
        <v>671</v>
      </c>
      <c r="R57" s="68"/>
      <c r="S57" s="68"/>
      <c r="T57" s="68"/>
      <c r="U57" s="68"/>
      <c r="V57" s="72" t="str">
        <f>HYPERLINK("https://pbs.twimg.com/profile_images/378800000476930086/97e51731c2bccc31d5570806b033aa52_normal.jpeg")</f>
        <v>https://pbs.twimg.com/profile_images/378800000476930086/97e51731c2bccc31d5570806b033aa52_normal.jpeg</v>
      </c>
      <c r="W57" s="70">
        <v>44697.09342592592</v>
      </c>
      <c r="X57" s="75">
        <v>44697</v>
      </c>
      <c r="Y57" s="73" t="s">
        <v>764</v>
      </c>
      <c r="Z57" s="72" t="str">
        <f>HYPERLINK("https://twitter.com/jennyneligan/status/1526023260701618176")</f>
        <v>https://twitter.com/jennyneligan/status/1526023260701618176</v>
      </c>
      <c r="AA57" s="68"/>
      <c r="AB57" s="68"/>
      <c r="AC57" s="73" t="s">
        <v>867</v>
      </c>
      <c r="AD57" s="68"/>
      <c r="AE57" s="68" t="b">
        <v>0</v>
      </c>
      <c r="AF57" s="68">
        <v>0</v>
      </c>
      <c r="AG57" s="73" t="s">
        <v>282</v>
      </c>
      <c r="AH57" s="68" t="b">
        <v>0</v>
      </c>
      <c r="AI57" s="68" t="s">
        <v>283</v>
      </c>
      <c r="AJ57" s="68"/>
      <c r="AK57" s="73" t="s">
        <v>282</v>
      </c>
      <c r="AL57" s="68" t="b">
        <v>0</v>
      </c>
      <c r="AM57" s="68">
        <v>11</v>
      </c>
      <c r="AN57" s="73" t="s">
        <v>919</v>
      </c>
      <c r="AO57" s="73" t="s">
        <v>285</v>
      </c>
      <c r="AP57" s="68" t="b">
        <v>0</v>
      </c>
      <c r="AQ57" s="73" t="s">
        <v>919</v>
      </c>
      <c r="AR57" s="68" t="s">
        <v>218</v>
      </c>
      <c r="AS57" s="68">
        <v>0</v>
      </c>
      <c r="AT57" s="68">
        <v>0</v>
      </c>
      <c r="AU57" s="68"/>
      <c r="AV57" s="68"/>
      <c r="AW57" s="68"/>
      <c r="AX57" s="68"/>
      <c r="AY57" s="68"/>
      <c r="AZ57" s="68"/>
      <c r="BA57" s="68"/>
      <c r="BB57" s="68"/>
      <c r="BC57" s="68">
        <v>1</v>
      </c>
      <c r="BD57" s="67" t="str">
        <f>REPLACE(INDEX(GroupVertices[Group],MATCH(Edges[[#This Row],[Vertex 1]],GroupVertices[Vertex],0)),1,1,"")</f>
        <v>1</v>
      </c>
      <c r="BE57" s="67" t="str">
        <f>REPLACE(INDEX(GroupVertices[Group],MATCH(Edges[[#This Row],[Vertex 2]],GroupVertices[Vertex],0)),1,1,"")</f>
        <v>1</v>
      </c>
      <c r="BF57" s="49">
        <v>1</v>
      </c>
      <c r="BG57" s="50">
        <v>2.272727272727273</v>
      </c>
      <c r="BH57" s="49">
        <v>0</v>
      </c>
      <c r="BI57" s="50">
        <v>0</v>
      </c>
      <c r="BJ57" s="49">
        <v>0</v>
      </c>
      <c r="BK57" s="50">
        <v>0</v>
      </c>
      <c r="BL57" s="49">
        <v>43</v>
      </c>
      <c r="BM57" s="50">
        <v>97.72727272727273</v>
      </c>
      <c r="BN57" s="49">
        <v>44</v>
      </c>
    </row>
    <row r="58" spans="1:66" ht="15">
      <c r="A58" s="66" t="s">
        <v>581</v>
      </c>
      <c r="B58" s="66" t="s">
        <v>625</v>
      </c>
      <c r="C58" s="84" t="s">
        <v>538</v>
      </c>
      <c r="D58" s="94">
        <v>5</v>
      </c>
      <c r="E58" s="84"/>
      <c r="F58" s="96">
        <v>50</v>
      </c>
      <c r="G58" s="84"/>
      <c r="H58" s="82"/>
      <c r="I58" s="97"/>
      <c r="J58" s="97"/>
      <c r="K58" s="35" t="s">
        <v>65</v>
      </c>
      <c r="L58" s="98">
        <v>58</v>
      </c>
      <c r="M58" s="98"/>
      <c r="N58" s="99"/>
      <c r="O58" s="68" t="s">
        <v>262</v>
      </c>
      <c r="P58" s="70">
        <v>44697.09357638889</v>
      </c>
      <c r="Q58" s="68" t="s">
        <v>673</v>
      </c>
      <c r="R58" s="68"/>
      <c r="S58" s="68"/>
      <c r="T58" s="68"/>
      <c r="U58" s="68"/>
      <c r="V58" s="72" t="str">
        <f>HYPERLINK("https://pbs.twimg.com/profile_images/1175587153268527104/sbJ-R2-c_normal.jpg")</f>
        <v>https://pbs.twimg.com/profile_images/1175587153268527104/sbJ-R2-c_normal.jpg</v>
      </c>
      <c r="W58" s="70">
        <v>44697.09357638889</v>
      </c>
      <c r="X58" s="75">
        <v>44697</v>
      </c>
      <c r="Y58" s="73" t="s">
        <v>765</v>
      </c>
      <c r="Z58" s="72" t="str">
        <f>HYPERLINK("https://twitter.com/haylskoroi/status/1526023315441127426")</f>
        <v>https://twitter.com/haylskoroi/status/1526023315441127426</v>
      </c>
      <c r="AA58" s="68"/>
      <c r="AB58" s="68"/>
      <c r="AC58" s="73" t="s">
        <v>868</v>
      </c>
      <c r="AD58" s="68"/>
      <c r="AE58" s="68" t="b">
        <v>0</v>
      </c>
      <c r="AF58" s="68">
        <v>0</v>
      </c>
      <c r="AG58" s="73" t="s">
        <v>282</v>
      </c>
      <c r="AH58" s="68" t="b">
        <v>0</v>
      </c>
      <c r="AI58" s="68" t="s">
        <v>283</v>
      </c>
      <c r="AJ58" s="68"/>
      <c r="AK58" s="73" t="s">
        <v>282</v>
      </c>
      <c r="AL58" s="68" t="b">
        <v>0</v>
      </c>
      <c r="AM58" s="68">
        <v>14</v>
      </c>
      <c r="AN58" s="73" t="s">
        <v>915</v>
      </c>
      <c r="AO58" s="73" t="s">
        <v>285</v>
      </c>
      <c r="AP58" s="68" t="b">
        <v>0</v>
      </c>
      <c r="AQ58" s="73" t="s">
        <v>915</v>
      </c>
      <c r="AR58" s="68" t="s">
        <v>218</v>
      </c>
      <c r="AS58" s="68">
        <v>0</v>
      </c>
      <c r="AT58" s="68">
        <v>0</v>
      </c>
      <c r="AU58" s="68"/>
      <c r="AV58" s="68"/>
      <c r="AW58" s="68"/>
      <c r="AX58" s="68"/>
      <c r="AY58" s="68"/>
      <c r="AZ58" s="68"/>
      <c r="BA58" s="68"/>
      <c r="BB58" s="68"/>
      <c r="BC58" s="68">
        <v>1</v>
      </c>
      <c r="BD58" s="67" t="str">
        <f>REPLACE(INDEX(GroupVertices[Group],MATCH(Edges[[#This Row],[Vertex 1]],GroupVertices[Vertex],0)),1,1,"")</f>
        <v>3</v>
      </c>
      <c r="BE58" s="67" t="str">
        <f>REPLACE(INDEX(GroupVertices[Group],MATCH(Edges[[#This Row],[Vertex 2]],GroupVertices[Vertex],0)),1,1,"")</f>
        <v>3</v>
      </c>
      <c r="BF58" s="49">
        <v>1</v>
      </c>
      <c r="BG58" s="50">
        <v>2.3255813953488373</v>
      </c>
      <c r="BH58" s="49">
        <v>0</v>
      </c>
      <c r="BI58" s="50">
        <v>0</v>
      </c>
      <c r="BJ58" s="49">
        <v>0</v>
      </c>
      <c r="BK58" s="50">
        <v>0</v>
      </c>
      <c r="BL58" s="49">
        <v>42</v>
      </c>
      <c r="BM58" s="50">
        <v>97.67441860465117</v>
      </c>
      <c r="BN58" s="49">
        <v>43</v>
      </c>
    </row>
    <row r="59" spans="1:66" ht="15">
      <c r="A59" s="66" t="s">
        <v>582</v>
      </c>
      <c r="B59" s="66" t="s">
        <v>625</v>
      </c>
      <c r="C59" s="84" t="s">
        <v>538</v>
      </c>
      <c r="D59" s="94">
        <v>5</v>
      </c>
      <c r="E59" s="84"/>
      <c r="F59" s="96">
        <v>50</v>
      </c>
      <c r="G59" s="84"/>
      <c r="H59" s="82"/>
      <c r="I59" s="97"/>
      <c r="J59" s="97"/>
      <c r="K59" s="35" t="s">
        <v>65</v>
      </c>
      <c r="L59" s="98">
        <v>59</v>
      </c>
      <c r="M59" s="98"/>
      <c r="N59" s="99"/>
      <c r="O59" s="68" t="s">
        <v>262</v>
      </c>
      <c r="P59" s="70">
        <v>44697.095046296294</v>
      </c>
      <c r="Q59" s="68" t="s">
        <v>673</v>
      </c>
      <c r="R59" s="68"/>
      <c r="S59" s="68"/>
      <c r="T59" s="68"/>
      <c r="U59" s="68"/>
      <c r="V59" s="72" t="str">
        <f>HYPERLINK("https://pbs.twimg.com/profile_images/1437299302032822272/Xew9wpQo_normal.jpg")</f>
        <v>https://pbs.twimg.com/profile_images/1437299302032822272/Xew9wpQo_normal.jpg</v>
      </c>
      <c r="W59" s="70">
        <v>44697.095046296294</v>
      </c>
      <c r="X59" s="75">
        <v>44697</v>
      </c>
      <c r="Y59" s="73" t="s">
        <v>766</v>
      </c>
      <c r="Z59" s="72" t="str">
        <f>HYPERLINK("https://twitter.com/riseup4cja/status/1526023850047131649")</f>
        <v>https://twitter.com/riseup4cja/status/1526023850047131649</v>
      </c>
      <c r="AA59" s="68"/>
      <c r="AB59" s="68"/>
      <c r="AC59" s="73" t="s">
        <v>869</v>
      </c>
      <c r="AD59" s="68"/>
      <c r="AE59" s="68" t="b">
        <v>0</v>
      </c>
      <c r="AF59" s="68">
        <v>0</v>
      </c>
      <c r="AG59" s="73" t="s">
        <v>282</v>
      </c>
      <c r="AH59" s="68" t="b">
        <v>0</v>
      </c>
      <c r="AI59" s="68" t="s">
        <v>283</v>
      </c>
      <c r="AJ59" s="68"/>
      <c r="AK59" s="73" t="s">
        <v>282</v>
      </c>
      <c r="AL59" s="68" t="b">
        <v>0</v>
      </c>
      <c r="AM59" s="68">
        <v>14</v>
      </c>
      <c r="AN59" s="73" t="s">
        <v>915</v>
      </c>
      <c r="AO59" s="73" t="s">
        <v>285</v>
      </c>
      <c r="AP59" s="68" t="b">
        <v>0</v>
      </c>
      <c r="AQ59" s="73" t="s">
        <v>915</v>
      </c>
      <c r="AR59" s="68" t="s">
        <v>218</v>
      </c>
      <c r="AS59" s="68">
        <v>0</v>
      </c>
      <c r="AT59" s="68">
        <v>0</v>
      </c>
      <c r="AU59" s="68"/>
      <c r="AV59" s="68"/>
      <c r="AW59" s="68"/>
      <c r="AX59" s="68"/>
      <c r="AY59" s="68"/>
      <c r="AZ59" s="68"/>
      <c r="BA59" s="68"/>
      <c r="BB59" s="68"/>
      <c r="BC59" s="68">
        <v>1</v>
      </c>
      <c r="BD59" s="67" t="str">
        <f>REPLACE(INDEX(GroupVertices[Group],MATCH(Edges[[#This Row],[Vertex 1]],GroupVertices[Vertex],0)),1,1,"")</f>
        <v>3</v>
      </c>
      <c r="BE59" s="67" t="str">
        <f>REPLACE(INDEX(GroupVertices[Group],MATCH(Edges[[#This Row],[Vertex 2]],GroupVertices[Vertex],0)),1,1,"")</f>
        <v>3</v>
      </c>
      <c r="BF59" s="49">
        <v>1</v>
      </c>
      <c r="BG59" s="50">
        <v>2.3255813953488373</v>
      </c>
      <c r="BH59" s="49">
        <v>0</v>
      </c>
      <c r="BI59" s="50">
        <v>0</v>
      </c>
      <c r="BJ59" s="49">
        <v>0</v>
      </c>
      <c r="BK59" s="50">
        <v>0</v>
      </c>
      <c r="BL59" s="49">
        <v>42</v>
      </c>
      <c r="BM59" s="50">
        <v>97.67441860465117</v>
      </c>
      <c r="BN59" s="49">
        <v>43</v>
      </c>
    </row>
    <row r="60" spans="1:66" ht="15">
      <c r="A60" s="66" t="s">
        <v>583</v>
      </c>
      <c r="B60" s="66" t="s">
        <v>625</v>
      </c>
      <c r="C60" s="84" t="s">
        <v>538</v>
      </c>
      <c r="D60" s="94">
        <v>5</v>
      </c>
      <c r="E60" s="84"/>
      <c r="F60" s="96">
        <v>50</v>
      </c>
      <c r="G60" s="84"/>
      <c r="H60" s="82"/>
      <c r="I60" s="97"/>
      <c r="J60" s="97"/>
      <c r="K60" s="35" t="s">
        <v>65</v>
      </c>
      <c r="L60" s="98">
        <v>60</v>
      </c>
      <c r="M60" s="98"/>
      <c r="N60" s="99"/>
      <c r="O60" s="68" t="s">
        <v>262</v>
      </c>
      <c r="P60" s="70">
        <v>44697.097395833334</v>
      </c>
      <c r="Q60" s="68" t="s">
        <v>673</v>
      </c>
      <c r="R60" s="68"/>
      <c r="S60" s="68"/>
      <c r="T60" s="68"/>
      <c r="U60" s="68"/>
      <c r="V60" s="72" t="str">
        <f>HYPERLINK("https://pbs.twimg.com/profile_images/1386472261658451975/SrKrZGVt_normal.jpg")</f>
        <v>https://pbs.twimg.com/profile_images/1386472261658451975/SrKrZGVt_normal.jpg</v>
      </c>
      <c r="W60" s="70">
        <v>44697.097395833334</v>
      </c>
      <c r="X60" s="75">
        <v>44697</v>
      </c>
      <c r="Y60" s="73" t="s">
        <v>767</v>
      </c>
      <c r="Z60" s="72" t="str">
        <f>HYPERLINK("https://twitter.com/peterja27056176/status/1526024701117509632")</f>
        <v>https://twitter.com/peterja27056176/status/1526024701117509632</v>
      </c>
      <c r="AA60" s="68"/>
      <c r="AB60" s="68"/>
      <c r="AC60" s="73" t="s">
        <v>870</v>
      </c>
      <c r="AD60" s="68"/>
      <c r="AE60" s="68" t="b">
        <v>0</v>
      </c>
      <c r="AF60" s="68">
        <v>0</v>
      </c>
      <c r="AG60" s="73" t="s">
        <v>282</v>
      </c>
      <c r="AH60" s="68" t="b">
        <v>0</v>
      </c>
      <c r="AI60" s="68" t="s">
        <v>283</v>
      </c>
      <c r="AJ60" s="68"/>
      <c r="AK60" s="73" t="s">
        <v>282</v>
      </c>
      <c r="AL60" s="68" t="b">
        <v>0</v>
      </c>
      <c r="AM60" s="68">
        <v>14</v>
      </c>
      <c r="AN60" s="73" t="s">
        <v>915</v>
      </c>
      <c r="AO60" s="73" t="s">
        <v>284</v>
      </c>
      <c r="AP60" s="68" t="b">
        <v>0</v>
      </c>
      <c r="AQ60" s="73" t="s">
        <v>915</v>
      </c>
      <c r="AR60" s="68" t="s">
        <v>218</v>
      </c>
      <c r="AS60" s="68">
        <v>0</v>
      </c>
      <c r="AT60" s="68">
        <v>0</v>
      </c>
      <c r="AU60" s="68"/>
      <c r="AV60" s="68"/>
      <c r="AW60" s="68"/>
      <c r="AX60" s="68"/>
      <c r="AY60" s="68"/>
      <c r="AZ60" s="68"/>
      <c r="BA60" s="68"/>
      <c r="BB60" s="68"/>
      <c r="BC60" s="68">
        <v>1</v>
      </c>
      <c r="BD60" s="67" t="str">
        <f>REPLACE(INDEX(GroupVertices[Group],MATCH(Edges[[#This Row],[Vertex 1]],GroupVertices[Vertex],0)),1,1,"")</f>
        <v>3</v>
      </c>
      <c r="BE60" s="67" t="str">
        <f>REPLACE(INDEX(GroupVertices[Group],MATCH(Edges[[#This Row],[Vertex 2]],GroupVertices[Vertex],0)),1,1,"")</f>
        <v>3</v>
      </c>
      <c r="BF60" s="49">
        <v>1</v>
      </c>
      <c r="BG60" s="50">
        <v>2.3255813953488373</v>
      </c>
      <c r="BH60" s="49">
        <v>0</v>
      </c>
      <c r="BI60" s="50">
        <v>0</v>
      </c>
      <c r="BJ60" s="49">
        <v>0</v>
      </c>
      <c r="BK60" s="50">
        <v>0</v>
      </c>
      <c r="BL60" s="49">
        <v>42</v>
      </c>
      <c r="BM60" s="50">
        <v>97.67441860465117</v>
      </c>
      <c r="BN60" s="49">
        <v>43</v>
      </c>
    </row>
    <row r="61" spans="1:66" ht="15">
      <c r="A61" s="66" t="s">
        <v>584</v>
      </c>
      <c r="B61" s="66" t="s">
        <v>625</v>
      </c>
      <c r="C61" s="84" t="s">
        <v>538</v>
      </c>
      <c r="D61" s="94">
        <v>5</v>
      </c>
      <c r="E61" s="84"/>
      <c r="F61" s="96">
        <v>50</v>
      </c>
      <c r="G61" s="84"/>
      <c r="H61" s="82"/>
      <c r="I61" s="97"/>
      <c r="J61" s="97"/>
      <c r="K61" s="35" t="s">
        <v>65</v>
      </c>
      <c r="L61" s="98">
        <v>61</v>
      </c>
      <c r="M61" s="98"/>
      <c r="N61" s="99"/>
      <c r="O61" s="68" t="s">
        <v>262</v>
      </c>
      <c r="P61" s="70">
        <v>44697.10736111111</v>
      </c>
      <c r="Q61" s="68" t="s">
        <v>673</v>
      </c>
      <c r="R61" s="68"/>
      <c r="S61" s="68"/>
      <c r="T61" s="68"/>
      <c r="U61" s="68"/>
      <c r="V61" s="72" t="str">
        <f>HYPERLINK("https://pbs.twimg.com/profile_images/641906309126754304/MfpI6RtM_normal.jpg")</f>
        <v>https://pbs.twimg.com/profile_images/641906309126754304/MfpI6RtM_normal.jpg</v>
      </c>
      <c r="W61" s="70">
        <v>44697.10736111111</v>
      </c>
      <c r="X61" s="75">
        <v>44697</v>
      </c>
      <c r="Y61" s="73" t="s">
        <v>768</v>
      </c>
      <c r="Z61" s="72" t="str">
        <f>HYPERLINK("https://twitter.com/russelnorman/status/1526028313289863170")</f>
        <v>https://twitter.com/russelnorman/status/1526028313289863170</v>
      </c>
      <c r="AA61" s="68"/>
      <c r="AB61" s="68"/>
      <c r="AC61" s="73" t="s">
        <v>871</v>
      </c>
      <c r="AD61" s="68"/>
      <c r="AE61" s="68" t="b">
        <v>0</v>
      </c>
      <c r="AF61" s="68">
        <v>0</v>
      </c>
      <c r="AG61" s="73" t="s">
        <v>282</v>
      </c>
      <c r="AH61" s="68" t="b">
        <v>0</v>
      </c>
      <c r="AI61" s="68" t="s">
        <v>283</v>
      </c>
      <c r="AJ61" s="68"/>
      <c r="AK61" s="73" t="s">
        <v>282</v>
      </c>
      <c r="AL61" s="68" t="b">
        <v>0</v>
      </c>
      <c r="AM61" s="68">
        <v>14</v>
      </c>
      <c r="AN61" s="73" t="s">
        <v>915</v>
      </c>
      <c r="AO61" s="73" t="s">
        <v>284</v>
      </c>
      <c r="AP61" s="68" t="b">
        <v>0</v>
      </c>
      <c r="AQ61" s="73" t="s">
        <v>915</v>
      </c>
      <c r="AR61" s="68" t="s">
        <v>218</v>
      </c>
      <c r="AS61" s="68">
        <v>0</v>
      </c>
      <c r="AT61" s="68">
        <v>0</v>
      </c>
      <c r="AU61" s="68"/>
      <c r="AV61" s="68"/>
      <c r="AW61" s="68"/>
      <c r="AX61" s="68"/>
      <c r="AY61" s="68"/>
      <c r="AZ61" s="68"/>
      <c r="BA61" s="68"/>
      <c r="BB61" s="68"/>
      <c r="BC61" s="68">
        <v>1</v>
      </c>
      <c r="BD61" s="67" t="str">
        <f>REPLACE(INDEX(GroupVertices[Group],MATCH(Edges[[#This Row],[Vertex 1]],GroupVertices[Vertex],0)),1,1,"")</f>
        <v>3</v>
      </c>
      <c r="BE61" s="67" t="str">
        <f>REPLACE(INDEX(GroupVertices[Group],MATCH(Edges[[#This Row],[Vertex 2]],GroupVertices[Vertex],0)),1,1,"")</f>
        <v>3</v>
      </c>
      <c r="BF61" s="49">
        <v>1</v>
      </c>
      <c r="BG61" s="50">
        <v>2.3255813953488373</v>
      </c>
      <c r="BH61" s="49">
        <v>0</v>
      </c>
      <c r="BI61" s="50">
        <v>0</v>
      </c>
      <c r="BJ61" s="49">
        <v>0</v>
      </c>
      <c r="BK61" s="50">
        <v>0</v>
      </c>
      <c r="BL61" s="49">
        <v>42</v>
      </c>
      <c r="BM61" s="50">
        <v>97.67441860465117</v>
      </c>
      <c r="BN61" s="49">
        <v>43</v>
      </c>
    </row>
    <row r="62" spans="1:66" ht="15">
      <c r="A62" s="66" t="s">
        <v>585</v>
      </c>
      <c r="B62" s="66" t="s">
        <v>629</v>
      </c>
      <c r="C62" s="84" t="s">
        <v>538</v>
      </c>
      <c r="D62" s="94">
        <v>5</v>
      </c>
      <c r="E62" s="84"/>
      <c r="F62" s="96">
        <v>50</v>
      </c>
      <c r="G62" s="84"/>
      <c r="H62" s="82"/>
      <c r="I62" s="97"/>
      <c r="J62" s="97"/>
      <c r="K62" s="35" t="s">
        <v>65</v>
      </c>
      <c r="L62" s="98">
        <v>62</v>
      </c>
      <c r="M62" s="98"/>
      <c r="N62" s="99"/>
      <c r="O62" s="68" t="s">
        <v>262</v>
      </c>
      <c r="P62" s="70">
        <v>44697.10834490741</v>
      </c>
      <c r="Q62" s="68" t="s">
        <v>671</v>
      </c>
      <c r="R62" s="68"/>
      <c r="S62" s="68"/>
      <c r="T62" s="68"/>
      <c r="U62" s="68"/>
      <c r="V62" s="72" t="str">
        <f>HYPERLINK("https://pbs.twimg.com/profile_images/911719554346131457/tqzYif_V_normal.jpg")</f>
        <v>https://pbs.twimg.com/profile_images/911719554346131457/tqzYif_V_normal.jpg</v>
      </c>
      <c r="W62" s="70">
        <v>44697.10834490741</v>
      </c>
      <c r="X62" s="75">
        <v>44697</v>
      </c>
      <c r="Y62" s="73" t="s">
        <v>769</v>
      </c>
      <c r="Z62" s="72" t="str">
        <f>HYPERLINK("https://twitter.com/brianborunz/status/1526028670636539907")</f>
        <v>https://twitter.com/brianborunz/status/1526028670636539907</v>
      </c>
      <c r="AA62" s="68"/>
      <c r="AB62" s="68"/>
      <c r="AC62" s="73" t="s">
        <v>872</v>
      </c>
      <c r="AD62" s="68"/>
      <c r="AE62" s="68" t="b">
        <v>0</v>
      </c>
      <c r="AF62" s="68">
        <v>0</v>
      </c>
      <c r="AG62" s="73" t="s">
        <v>282</v>
      </c>
      <c r="AH62" s="68" t="b">
        <v>0</v>
      </c>
      <c r="AI62" s="68" t="s">
        <v>283</v>
      </c>
      <c r="AJ62" s="68"/>
      <c r="AK62" s="73" t="s">
        <v>282</v>
      </c>
      <c r="AL62" s="68" t="b">
        <v>0</v>
      </c>
      <c r="AM62" s="68">
        <v>11</v>
      </c>
      <c r="AN62" s="73" t="s">
        <v>919</v>
      </c>
      <c r="AO62" s="73" t="s">
        <v>947</v>
      </c>
      <c r="AP62" s="68" t="b">
        <v>0</v>
      </c>
      <c r="AQ62" s="73" t="s">
        <v>919</v>
      </c>
      <c r="AR62" s="68" t="s">
        <v>218</v>
      </c>
      <c r="AS62" s="68">
        <v>0</v>
      </c>
      <c r="AT62" s="68">
        <v>0</v>
      </c>
      <c r="AU62" s="68"/>
      <c r="AV62" s="68"/>
      <c r="AW62" s="68"/>
      <c r="AX62" s="68"/>
      <c r="AY62" s="68"/>
      <c r="AZ62" s="68"/>
      <c r="BA62" s="68"/>
      <c r="BB62" s="68"/>
      <c r="BC62" s="68">
        <v>1</v>
      </c>
      <c r="BD62" s="67" t="str">
        <f>REPLACE(INDEX(GroupVertices[Group],MATCH(Edges[[#This Row],[Vertex 1]],GroupVertices[Vertex],0)),1,1,"")</f>
        <v>1</v>
      </c>
      <c r="BE62" s="67" t="str">
        <f>REPLACE(INDEX(GroupVertices[Group],MATCH(Edges[[#This Row],[Vertex 2]],GroupVertices[Vertex],0)),1,1,"")</f>
        <v>1</v>
      </c>
      <c r="BF62" s="49">
        <v>1</v>
      </c>
      <c r="BG62" s="50">
        <v>2.272727272727273</v>
      </c>
      <c r="BH62" s="49">
        <v>0</v>
      </c>
      <c r="BI62" s="50">
        <v>0</v>
      </c>
      <c r="BJ62" s="49">
        <v>0</v>
      </c>
      <c r="BK62" s="50">
        <v>0</v>
      </c>
      <c r="BL62" s="49">
        <v>43</v>
      </c>
      <c r="BM62" s="50">
        <v>97.72727272727273</v>
      </c>
      <c r="BN62" s="49">
        <v>44</v>
      </c>
    </row>
    <row r="63" spans="1:66" ht="15">
      <c r="A63" s="66" t="s">
        <v>586</v>
      </c>
      <c r="B63" s="66" t="s">
        <v>586</v>
      </c>
      <c r="C63" s="84" t="s">
        <v>538</v>
      </c>
      <c r="D63" s="94">
        <v>5</v>
      </c>
      <c r="E63" s="84"/>
      <c r="F63" s="96">
        <v>50</v>
      </c>
      <c r="G63" s="84"/>
      <c r="H63" s="82"/>
      <c r="I63" s="97"/>
      <c r="J63" s="97"/>
      <c r="K63" s="35" t="s">
        <v>65</v>
      </c>
      <c r="L63" s="98">
        <v>63</v>
      </c>
      <c r="M63" s="98"/>
      <c r="N63" s="99"/>
      <c r="O63" s="68" t="s">
        <v>218</v>
      </c>
      <c r="P63" s="70">
        <v>44696.97222222222</v>
      </c>
      <c r="Q63" s="68" t="s">
        <v>674</v>
      </c>
      <c r="R63"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63" s="68" t="s">
        <v>269</v>
      </c>
      <c r="T63" s="68"/>
      <c r="U63" s="68"/>
      <c r="V63" s="72" t="str">
        <f>HYPERLINK("https://pbs.twimg.com/profile_images/1339869553237446661/RhTjPeSb_normal.jpg")</f>
        <v>https://pbs.twimg.com/profile_images/1339869553237446661/RhTjPeSb_normal.jpg</v>
      </c>
      <c r="W63" s="70">
        <v>44696.97222222222</v>
      </c>
      <c r="X63" s="75">
        <v>44696</v>
      </c>
      <c r="Y63" s="73" t="s">
        <v>770</v>
      </c>
      <c r="Z63" s="72" t="str">
        <f>HYPERLINK("https://twitter.com/newstalkzb/status/1525979338625060864")</f>
        <v>https://twitter.com/newstalkzb/status/1525979338625060864</v>
      </c>
      <c r="AA63" s="68"/>
      <c r="AB63" s="68"/>
      <c r="AC63" s="73" t="s">
        <v>873</v>
      </c>
      <c r="AD63" s="68"/>
      <c r="AE63" s="68" t="b">
        <v>0</v>
      </c>
      <c r="AF63" s="68">
        <v>1</v>
      </c>
      <c r="AG63" s="73" t="s">
        <v>282</v>
      </c>
      <c r="AH63" s="68" t="b">
        <v>0</v>
      </c>
      <c r="AI63" s="68" t="s">
        <v>283</v>
      </c>
      <c r="AJ63" s="68"/>
      <c r="AK63" s="73" t="s">
        <v>282</v>
      </c>
      <c r="AL63" s="68" t="b">
        <v>0</v>
      </c>
      <c r="AM63" s="68">
        <v>0</v>
      </c>
      <c r="AN63" s="73" t="s">
        <v>282</v>
      </c>
      <c r="AO63" s="73" t="s">
        <v>953</v>
      </c>
      <c r="AP63" s="68" t="b">
        <v>0</v>
      </c>
      <c r="AQ63" s="73" t="s">
        <v>873</v>
      </c>
      <c r="AR63" s="68" t="s">
        <v>218</v>
      </c>
      <c r="AS63" s="68">
        <v>0</v>
      </c>
      <c r="AT63" s="68">
        <v>0</v>
      </c>
      <c r="AU63" s="68"/>
      <c r="AV63" s="68"/>
      <c r="AW63" s="68"/>
      <c r="AX63" s="68"/>
      <c r="AY63" s="68"/>
      <c r="AZ63" s="68"/>
      <c r="BA63" s="68"/>
      <c r="BB63" s="68"/>
      <c r="BC63" s="68">
        <v>1</v>
      </c>
      <c r="BD63" s="67" t="str">
        <f>REPLACE(INDEX(GroupVertices[Group],MATCH(Edges[[#This Row],[Vertex 1]],GroupVertices[Vertex],0)),1,1,"")</f>
        <v>21</v>
      </c>
      <c r="BE63" s="67" t="str">
        <f>REPLACE(INDEX(GroupVertices[Group],MATCH(Edges[[#This Row],[Vertex 2]],GroupVertices[Vertex],0)),1,1,"")</f>
        <v>21</v>
      </c>
      <c r="BF63" s="49">
        <v>0</v>
      </c>
      <c r="BG63" s="50">
        <v>0</v>
      </c>
      <c r="BH63" s="49">
        <v>0</v>
      </c>
      <c r="BI63" s="50">
        <v>0</v>
      </c>
      <c r="BJ63" s="49">
        <v>0</v>
      </c>
      <c r="BK63" s="50">
        <v>0</v>
      </c>
      <c r="BL63" s="49">
        <v>15</v>
      </c>
      <c r="BM63" s="50">
        <v>100</v>
      </c>
      <c r="BN63" s="49">
        <v>15</v>
      </c>
    </row>
    <row r="64" spans="1:66" ht="15">
      <c r="A64" s="66" t="s">
        <v>587</v>
      </c>
      <c r="B64" s="66" t="s">
        <v>586</v>
      </c>
      <c r="C64" s="84" t="s">
        <v>538</v>
      </c>
      <c r="D64" s="94">
        <v>5</v>
      </c>
      <c r="E64" s="84"/>
      <c r="F64" s="96">
        <v>50</v>
      </c>
      <c r="G64" s="84"/>
      <c r="H64" s="82"/>
      <c r="I64" s="97"/>
      <c r="J64" s="97"/>
      <c r="K64" s="35" t="s">
        <v>65</v>
      </c>
      <c r="L64" s="98">
        <v>64</v>
      </c>
      <c r="M64" s="98"/>
      <c r="N64" s="99"/>
      <c r="O64" s="68" t="s">
        <v>263</v>
      </c>
      <c r="P64" s="70">
        <v>44697.10841435185</v>
      </c>
      <c r="Q64" s="68" t="s">
        <v>675</v>
      </c>
      <c r="R64"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64" s="68" t="s">
        <v>269</v>
      </c>
      <c r="T64" s="73" t="s">
        <v>715</v>
      </c>
      <c r="U64" s="68"/>
      <c r="V64" s="72" t="str">
        <f>HYPERLINK("https://pbs.twimg.com/profile_images/1199432744800931840/s3kZhXK2_normal.png")</f>
        <v>https://pbs.twimg.com/profile_images/1199432744800931840/s3kZhXK2_normal.png</v>
      </c>
      <c r="W64" s="70">
        <v>44697.10841435185</v>
      </c>
      <c r="X64" s="75">
        <v>44697</v>
      </c>
      <c r="Y64" s="73" t="s">
        <v>771</v>
      </c>
      <c r="Z64" s="72" t="str">
        <f>HYPERLINK("https://twitter.com/wellingtonuni/status/1526028693390376961")</f>
        <v>https://twitter.com/wellingtonuni/status/1526028693390376961</v>
      </c>
      <c r="AA64" s="68"/>
      <c r="AB64" s="68"/>
      <c r="AC64" s="73" t="s">
        <v>874</v>
      </c>
      <c r="AD64" s="68"/>
      <c r="AE64" s="68" t="b">
        <v>0</v>
      </c>
      <c r="AF64" s="68">
        <v>2</v>
      </c>
      <c r="AG64" s="73" t="s">
        <v>282</v>
      </c>
      <c r="AH64" s="68" t="b">
        <v>0</v>
      </c>
      <c r="AI64" s="68" t="s">
        <v>283</v>
      </c>
      <c r="AJ64" s="68"/>
      <c r="AK64" s="73" t="s">
        <v>282</v>
      </c>
      <c r="AL64" s="68" t="b">
        <v>0</v>
      </c>
      <c r="AM64" s="68">
        <v>0</v>
      </c>
      <c r="AN64" s="73" t="s">
        <v>282</v>
      </c>
      <c r="AO64" s="73" t="s">
        <v>954</v>
      </c>
      <c r="AP64" s="68" t="b">
        <v>0</v>
      </c>
      <c r="AQ64" s="73" t="s">
        <v>874</v>
      </c>
      <c r="AR64" s="68" t="s">
        <v>218</v>
      </c>
      <c r="AS64" s="68">
        <v>0</v>
      </c>
      <c r="AT64" s="68">
        <v>0</v>
      </c>
      <c r="AU64" s="68"/>
      <c r="AV64" s="68"/>
      <c r="AW64" s="68"/>
      <c r="AX64" s="68"/>
      <c r="AY64" s="68"/>
      <c r="AZ64" s="68"/>
      <c r="BA64" s="68"/>
      <c r="BB64" s="68"/>
      <c r="BC64" s="68">
        <v>1</v>
      </c>
      <c r="BD64" s="67" t="str">
        <f>REPLACE(INDEX(GroupVertices[Group],MATCH(Edges[[#This Row],[Vertex 1]],GroupVertices[Vertex],0)),1,1,"")</f>
        <v>21</v>
      </c>
      <c r="BE64" s="67" t="str">
        <f>REPLACE(INDEX(GroupVertices[Group],MATCH(Edges[[#This Row],[Vertex 2]],GroupVertices[Vertex],0)),1,1,"")</f>
        <v>21</v>
      </c>
      <c r="BF64" s="49">
        <v>1</v>
      </c>
      <c r="BG64" s="50">
        <v>3.0303030303030303</v>
      </c>
      <c r="BH64" s="49">
        <v>1</v>
      </c>
      <c r="BI64" s="50">
        <v>3.0303030303030303</v>
      </c>
      <c r="BJ64" s="49">
        <v>0</v>
      </c>
      <c r="BK64" s="50">
        <v>0</v>
      </c>
      <c r="BL64" s="49">
        <v>31</v>
      </c>
      <c r="BM64" s="50">
        <v>93.93939393939394</v>
      </c>
      <c r="BN64" s="49">
        <v>33</v>
      </c>
    </row>
    <row r="65" spans="1:66" ht="15">
      <c r="A65" s="66" t="s">
        <v>588</v>
      </c>
      <c r="B65" s="66" t="s">
        <v>625</v>
      </c>
      <c r="C65" s="84" t="s">
        <v>538</v>
      </c>
      <c r="D65" s="94">
        <v>5</v>
      </c>
      <c r="E65" s="84"/>
      <c r="F65" s="96">
        <v>50</v>
      </c>
      <c r="G65" s="84"/>
      <c r="H65" s="82"/>
      <c r="I65" s="97"/>
      <c r="J65" s="97"/>
      <c r="K65" s="35" t="s">
        <v>65</v>
      </c>
      <c r="L65" s="98">
        <v>65</v>
      </c>
      <c r="M65" s="98"/>
      <c r="N65" s="99"/>
      <c r="O65" s="68" t="s">
        <v>262</v>
      </c>
      <c r="P65" s="70">
        <v>44697.110810185186</v>
      </c>
      <c r="Q65" s="68" t="s">
        <v>673</v>
      </c>
      <c r="R65" s="68"/>
      <c r="S65" s="68"/>
      <c r="T65" s="68"/>
      <c r="U65" s="68"/>
      <c r="V65" s="72" t="str">
        <f>HYPERLINK("https://pbs.twimg.com/profile_images/378800000080455804/ad4249ac1021a7901bd5810ae668ab74_normal.png")</f>
        <v>https://pbs.twimg.com/profile_images/378800000080455804/ad4249ac1021a7901bd5810ae668ab74_normal.png</v>
      </c>
      <c r="W65" s="70">
        <v>44697.110810185186</v>
      </c>
      <c r="X65" s="75">
        <v>44697</v>
      </c>
      <c r="Y65" s="73" t="s">
        <v>772</v>
      </c>
      <c r="Z65" s="72" t="str">
        <f>HYPERLINK("https://twitter.com/norightturnnz/status/1526029563251134464")</f>
        <v>https://twitter.com/norightturnnz/status/1526029563251134464</v>
      </c>
      <c r="AA65" s="68"/>
      <c r="AB65" s="68"/>
      <c r="AC65" s="73" t="s">
        <v>875</v>
      </c>
      <c r="AD65" s="68"/>
      <c r="AE65" s="68" t="b">
        <v>0</v>
      </c>
      <c r="AF65" s="68">
        <v>0</v>
      </c>
      <c r="AG65" s="73" t="s">
        <v>282</v>
      </c>
      <c r="AH65" s="68" t="b">
        <v>0</v>
      </c>
      <c r="AI65" s="68" t="s">
        <v>283</v>
      </c>
      <c r="AJ65" s="68"/>
      <c r="AK65" s="73" t="s">
        <v>282</v>
      </c>
      <c r="AL65" s="68" t="b">
        <v>0</v>
      </c>
      <c r="AM65" s="68">
        <v>14</v>
      </c>
      <c r="AN65" s="73" t="s">
        <v>915</v>
      </c>
      <c r="AO65" s="73" t="s">
        <v>285</v>
      </c>
      <c r="AP65" s="68" t="b">
        <v>0</v>
      </c>
      <c r="AQ65" s="73" t="s">
        <v>915</v>
      </c>
      <c r="AR65" s="68" t="s">
        <v>218</v>
      </c>
      <c r="AS65" s="68">
        <v>0</v>
      </c>
      <c r="AT65" s="68">
        <v>0</v>
      </c>
      <c r="AU65" s="68"/>
      <c r="AV65" s="68"/>
      <c r="AW65" s="68"/>
      <c r="AX65" s="68"/>
      <c r="AY65" s="68"/>
      <c r="AZ65" s="68"/>
      <c r="BA65" s="68"/>
      <c r="BB65" s="68"/>
      <c r="BC65" s="68">
        <v>1</v>
      </c>
      <c r="BD65" s="67" t="str">
        <f>REPLACE(INDEX(GroupVertices[Group],MATCH(Edges[[#This Row],[Vertex 1]],GroupVertices[Vertex],0)),1,1,"")</f>
        <v>3</v>
      </c>
      <c r="BE65" s="67" t="str">
        <f>REPLACE(INDEX(GroupVertices[Group],MATCH(Edges[[#This Row],[Vertex 2]],GroupVertices[Vertex],0)),1,1,"")</f>
        <v>3</v>
      </c>
      <c r="BF65" s="49">
        <v>1</v>
      </c>
      <c r="BG65" s="50">
        <v>2.3255813953488373</v>
      </c>
      <c r="BH65" s="49">
        <v>0</v>
      </c>
      <c r="BI65" s="50">
        <v>0</v>
      </c>
      <c r="BJ65" s="49">
        <v>0</v>
      </c>
      <c r="BK65" s="50">
        <v>0</v>
      </c>
      <c r="BL65" s="49">
        <v>42</v>
      </c>
      <c r="BM65" s="50">
        <v>97.67441860465117</v>
      </c>
      <c r="BN65" s="49">
        <v>43</v>
      </c>
    </row>
    <row r="66" spans="1:66" ht="15">
      <c r="A66" s="66" t="s">
        <v>589</v>
      </c>
      <c r="B66" s="66" t="s">
        <v>625</v>
      </c>
      <c r="C66" s="84" t="s">
        <v>538</v>
      </c>
      <c r="D66" s="94">
        <v>5</v>
      </c>
      <c r="E66" s="84"/>
      <c r="F66" s="96">
        <v>50</v>
      </c>
      <c r="G66" s="84"/>
      <c r="H66" s="82"/>
      <c r="I66" s="97"/>
      <c r="J66" s="97"/>
      <c r="K66" s="35" t="s">
        <v>65</v>
      </c>
      <c r="L66" s="98">
        <v>66</v>
      </c>
      <c r="M66" s="98"/>
      <c r="N66" s="99"/>
      <c r="O66" s="68" t="s">
        <v>262</v>
      </c>
      <c r="P66" s="70">
        <v>44697.11240740741</v>
      </c>
      <c r="Q66" s="68" t="s">
        <v>673</v>
      </c>
      <c r="R66" s="68"/>
      <c r="S66" s="68"/>
      <c r="T66" s="68"/>
      <c r="U66" s="68"/>
      <c r="V66" s="72" t="str">
        <f>HYPERLINK("https://pbs.twimg.com/profile_images/900528757714243584/lFiaz9wi_normal.jpg")</f>
        <v>https://pbs.twimg.com/profile_images/900528757714243584/lFiaz9wi_normal.jpg</v>
      </c>
      <c r="W66" s="70">
        <v>44697.11240740741</v>
      </c>
      <c r="X66" s="75">
        <v>44697</v>
      </c>
      <c r="Y66" s="73" t="s">
        <v>773</v>
      </c>
      <c r="Z66" s="72" t="str">
        <f>HYPERLINK("https://twitter.com/gplnz/status/1526030139834142720")</f>
        <v>https://twitter.com/gplnz/status/1526030139834142720</v>
      </c>
      <c r="AA66" s="68"/>
      <c r="AB66" s="68"/>
      <c r="AC66" s="73" t="s">
        <v>876</v>
      </c>
      <c r="AD66" s="68"/>
      <c r="AE66" s="68" t="b">
        <v>0</v>
      </c>
      <c r="AF66" s="68">
        <v>0</v>
      </c>
      <c r="AG66" s="73" t="s">
        <v>282</v>
      </c>
      <c r="AH66" s="68" t="b">
        <v>0</v>
      </c>
      <c r="AI66" s="68" t="s">
        <v>283</v>
      </c>
      <c r="AJ66" s="68"/>
      <c r="AK66" s="73" t="s">
        <v>282</v>
      </c>
      <c r="AL66" s="68" t="b">
        <v>0</v>
      </c>
      <c r="AM66" s="68">
        <v>14</v>
      </c>
      <c r="AN66" s="73" t="s">
        <v>915</v>
      </c>
      <c r="AO66" s="73" t="s">
        <v>285</v>
      </c>
      <c r="AP66" s="68" t="b">
        <v>0</v>
      </c>
      <c r="AQ66" s="73" t="s">
        <v>915</v>
      </c>
      <c r="AR66" s="68" t="s">
        <v>218</v>
      </c>
      <c r="AS66" s="68">
        <v>0</v>
      </c>
      <c r="AT66" s="68">
        <v>0</v>
      </c>
      <c r="AU66" s="68"/>
      <c r="AV66" s="68"/>
      <c r="AW66" s="68"/>
      <c r="AX66" s="68"/>
      <c r="AY66" s="68"/>
      <c r="AZ66" s="68"/>
      <c r="BA66" s="68"/>
      <c r="BB66" s="68"/>
      <c r="BC66" s="68">
        <v>1</v>
      </c>
      <c r="BD66" s="67" t="str">
        <f>REPLACE(INDEX(GroupVertices[Group],MATCH(Edges[[#This Row],[Vertex 1]],GroupVertices[Vertex],0)),1,1,"")</f>
        <v>3</v>
      </c>
      <c r="BE66" s="67" t="str">
        <f>REPLACE(INDEX(GroupVertices[Group],MATCH(Edges[[#This Row],[Vertex 2]],GroupVertices[Vertex],0)),1,1,"")</f>
        <v>3</v>
      </c>
      <c r="BF66" s="49">
        <v>1</v>
      </c>
      <c r="BG66" s="50">
        <v>2.3255813953488373</v>
      </c>
      <c r="BH66" s="49">
        <v>0</v>
      </c>
      <c r="BI66" s="50">
        <v>0</v>
      </c>
      <c r="BJ66" s="49">
        <v>0</v>
      </c>
      <c r="BK66" s="50">
        <v>0</v>
      </c>
      <c r="BL66" s="49">
        <v>42</v>
      </c>
      <c r="BM66" s="50">
        <v>97.67441860465117</v>
      </c>
      <c r="BN66" s="49">
        <v>43</v>
      </c>
    </row>
    <row r="67" spans="1:66" ht="15">
      <c r="A67" s="66" t="s">
        <v>590</v>
      </c>
      <c r="B67" s="66" t="s">
        <v>643</v>
      </c>
      <c r="C67" s="84" t="s">
        <v>538</v>
      </c>
      <c r="D67" s="94">
        <v>5</v>
      </c>
      <c r="E67" s="84"/>
      <c r="F67" s="96">
        <v>50</v>
      </c>
      <c r="G67" s="84"/>
      <c r="H67" s="82"/>
      <c r="I67" s="97"/>
      <c r="J67" s="97"/>
      <c r="K67" s="35" t="s">
        <v>65</v>
      </c>
      <c r="L67" s="98">
        <v>67</v>
      </c>
      <c r="M67" s="98"/>
      <c r="N67" s="99"/>
      <c r="O67" s="68" t="s">
        <v>654</v>
      </c>
      <c r="P67" s="70">
        <v>44697.11351851852</v>
      </c>
      <c r="Q67" s="68" t="s">
        <v>676</v>
      </c>
      <c r="R67" s="68"/>
      <c r="S67" s="68"/>
      <c r="T67" s="68"/>
      <c r="U67" s="68"/>
      <c r="V67" s="72" t="str">
        <f>HYPERLINK("https://pbs.twimg.com/profile_images/988730596888166400/5q2ooFC-_normal.jpg")</f>
        <v>https://pbs.twimg.com/profile_images/988730596888166400/5q2ooFC-_normal.jpg</v>
      </c>
      <c r="W67" s="70">
        <v>44697.11351851852</v>
      </c>
      <c r="X67" s="75">
        <v>44697</v>
      </c>
      <c r="Y67" s="73" t="s">
        <v>774</v>
      </c>
      <c r="Z67" s="72" t="str">
        <f>HYPERLINK("https://twitter.com/paulbmcgill/status/1526030542658887680")</f>
        <v>https://twitter.com/paulbmcgill/status/1526030542658887680</v>
      </c>
      <c r="AA67" s="68"/>
      <c r="AB67" s="68"/>
      <c r="AC67" s="73" t="s">
        <v>877</v>
      </c>
      <c r="AD67" s="73" t="s">
        <v>931</v>
      </c>
      <c r="AE67" s="68" t="b">
        <v>0</v>
      </c>
      <c r="AF67" s="68">
        <v>1</v>
      </c>
      <c r="AG67" s="73" t="s">
        <v>937</v>
      </c>
      <c r="AH67" s="68" t="b">
        <v>0</v>
      </c>
      <c r="AI67" s="68" t="s">
        <v>283</v>
      </c>
      <c r="AJ67" s="68"/>
      <c r="AK67" s="73" t="s">
        <v>282</v>
      </c>
      <c r="AL67" s="68" t="b">
        <v>0</v>
      </c>
      <c r="AM67" s="68">
        <v>0</v>
      </c>
      <c r="AN67" s="73" t="s">
        <v>282</v>
      </c>
      <c r="AO67" s="73" t="s">
        <v>284</v>
      </c>
      <c r="AP67" s="68" t="b">
        <v>0</v>
      </c>
      <c r="AQ67" s="73" t="s">
        <v>931</v>
      </c>
      <c r="AR67" s="68" t="s">
        <v>218</v>
      </c>
      <c r="AS67" s="68">
        <v>0</v>
      </c>
      <c r="AT67" s="68">
        <v>0</v>
      </c>
      <c r="AU67" s="68" t="s">
        <v>958</v>
      </c>
      <c r="AV67" s="68" t="s">
        <v>326</v>
      </c>
      <c r="AW67" s="68" t="s">
        <v>959</v>
      </c>
      <c r="AX67" s="68" t="s">
        <v>960</v>
      </c>
      <c r="AY67" s="68" t="s">
        <v>961</v>
      </c>
      <c r="AZ67" s="68" t="s">
        <v>962</v>
      </c>
      <c r="BA67" s="68" t="s">
        <v>963</v>
      </c>
      <c r="BB67" s="72" t="str">
        <f>HYPERLINK("https://api.twitter.com/1.1/geo/id/013b5456649606dc.json")</f>
        <v>https://api.twitter.com/1.1/geo/id/013b5456649606dc.json</v>
      </c>
      <c r="BC67" s="68">
        <v>1</v>
      </c>
      <c r="BD67" s="67" t="str">
        <f>REPLACE(INDEX(GroupVertices[Group],MATCH(Edges[[#This Row],[Vertex 1]],GroupVertices[Vertex],0)),1,1,"")</f>
        <v>20</v>
      </c>
      <c r="BE67" s="67" t="str">
        <f>REPLACE(INDEX(GroupVertices[Group],MATCH(Edges[[#This Row],[Vertex 2]],GroupVertices[Vertex],0)),1,1,"")</f>
        <v>20</v>
      </c>
      <c r="BF67" s="49">
        <v>0</v>
      </c>
      <c r="BG67" s="50">
        <v>0</v>
      </c>
      <c r="BH67" s="49">
        <v>0</v>
      </c>
      <c r="BI67" s="50">
        <v>0</v>
      </c>
      <c r="BJ67" s="49">
        <v>0</v>
      </c>
      <c r="BK67" s="50">
        <v>0</v>
      </c>
      <c r="BL67" s="49">
        <v>55</v>
      </c>
      <c r="BM67" s="50">
        <v>100</v>
      </c>
      <c r="BN67" s="49">
        <v>55</v>
      </c>
    </row>
    <row r="68" spans="1:66" ht="15">
      <c r="A68" s="66" t="s">
        <v>591</v>
      </c>
      <c r="B68" s="66" t="s">
        <v>625</v>
      </c>
      <c r="C68" s="84" t="s">
        <v>538</v>
      </c>
      <c r="D68" s="94">
        <v>5</v>
      </c>
      <c r="E68" s="84"/>
      <c r="F68" s="96">
        <v>50</v>
      </c>
      <c r="G68" s="84"/>
      <c r="H68" s="82"/>
      <c r="I68" s="97"/>
      <c r="J68" s="97"/>
      <c r="K68" s="35" t="s">
        <v>65</v>
      </c>
      <c r="L68" s="98">
        <v>68</v>
      </c>
      <c r="M68" s="98"/>
      <c r="N68" s="99"/>
      <c r="O68" s="68" t="s">
        <v>262</v>
      </c>
      <c r="P68" s="70">
        <v>44697.11798611111</v>
      </c>
      <c r="Q68" s="68" t="s">
        <v>673</v>
      </c>
      <c r="R68" s="68"/>
      <c r="S68" s="68"/>
      <c r="T68" s="68"/>
      <c r="U68" s="68"/>
      <c r="V68" s="72" t="str">
        <f>HYPERLINK("https://pbs.twimg.com/profile_images/1512162081092816897/SDkiFysH_normal.jpg")</f>
        <v>https://pbs.twimg.com/profile_images/1512162081092816897/SDkiFysH_normal.jpg</v>
      </c>
      <c r="W68" s="70">
        <v>44697.11798611111</v>
      </c>
      <c r="X68" s="75">
        <v>44697</v>
      </c>
      <c r="Y68" s="73" t="s">
        <v>775</v>
      </c>
      <c r="Z68" s="72" t="str">
        <f>HYPERLINK("https://twitter.com/nickofnz/status/1526032160829755392")</f>
        <v>https://twitter.com/nickofnz/status/1526032160829755392</v>
      </c>
      <c r="AA68" s="68"/>
      <c r="AB68" s="68"/>
      <c r="AC68" s="73" t="s">
        <v>878</v>
      </c>
      <c r="AD68" s="68"/>
      <c r="AE68" s="68" t="b">
        <v>0</v>
      </c>
      <c r="AF68" s="68">
        <v>0</v>
      </c>
      <c r="AG68" s="73" t="s">
        <v>282</v>
      </c>
      <c r="AH68" s="68" t="b">
        <v>0</v>
      </c>
      <c r="AI68" s="68" t="s">
        <v>283</v>
      </c>
      <c r="AJ68" s="68"/>
      <c r="AK68" s="73" t="s">
        <v>282</v>
      </c>
      <c r="AL68" s="68" t="b">
        <v>0</v>
      </c>
      <c r="AM68" s="68">
        <v>14</v>
      </c>
      <c r="AN68" s="73" t="s">
        <v>915</v>
      </c>
      <c r="AO68" s="73" t="s">
        <v>285</v>
      </c>
      <c r="AP68" s="68" t="b">
        <v>0</v>
      </c>
      <c r="AQ68" s="73" t="s">
        <v>915</v>
      </c>
      <c r="AR68" s="68" t="s">
        <v>218</v>
      </c>
      <c r="AS68" s="68">
        <v>0</v>
      </c>
      <c r="AT68" s="68">
        <v>0</v>
      </c>
      <c r="AU68" s="68"/>
      <c r="AV68" s="68"/>
      <c r="AW68" s="68"/>
      <c r="AX68" s="68"/>
      <c r="AY68" s="68"/>
      <c r="AZ68" s="68"/>
      <c r="BA68" s="68"/>
      <c r="BB68" s="68"/>
      <c r="BC68" s="68">
        <v>1</v>
      </c>
      <c r="BD68" s="67" t="str">
        <f>REPLACE(INDEX(GroupVertices[Group],MATCH(Edges[[#This Row],[Vertex 1]],GroupVertices[Vertex],0)),1,1,"")</f>
        <v>3</v>
      </c>
      <c r="BE68" s="67" t="str">
        <f>REPLACE(INDEX(GroupVertices[Group],MATCH(Edges[[#This Row],[Vertex 2]],GroupVertices[Vertex],0)),1,1,"")</f>
        <v>3</v>
      </c>
      <c r="BF68" s="49">
        <v>1</v>
      </c>
      <c r="BG68" s="50">
        <v>2.3255813953488373</v>
      </c>
      <c r="BH68" s="49">
        <v>0</v>
      </c>
      <c r="BI68" s="50">
        <v>0</v>
      </c>
      <c r="BJ68" s="49">
        <v>0</v>
      </c>
      <c r="BK68" s="50">
        <v>0</v>
      </c>
      <c r="BL68" s="49">
        <v>42</v>
      </c>
      <c r="BM68" s="50">
        <v>97.67441860465117</v>
      </c>
      <c r="BN68" s="49">
        <v>43</v>
      </c>
    </row>
    <row r="69" spans="1:66" ht="15">
      <c r="A69" s="66" t="s">
        <v>592</v>
      </c>
      <c r="B69" s="66" t="s">
        <v>625</v>
      </c>
      <c r="C69" s="84" t="s">
        <v>538</v>
      </c>
      <c r="D69" s="94">
        <v>5</v>
      </c>
      <c r="E69" s="84"/>
      <c r="F69" s="96">
        <v>50</v>
      </c>
      <c r="G69" s="84"/>
      <c r="H69" s="82"/>
      <c r="I69" s="97"/>
      <c r="J69" s="97"/>
      <c r="K69" s="35" t="s">
        <v>65</v>
      </c>
      <c r="L69" s="98">
        <v>69</v>
      </c>
      <c r="M69" s="98"/>
      <c r="N69" s="99"/>
      <c r="O69" s="68" t="s">
        <v>262</v>
      </c>
      <c r="P69" s="70">
        <v>44697.12096064815</v>
      </c>
      <c r="Q69" s="68" t="s">
        <v>673</v>
      </c>
      <c r="R69" s="68"/>
      <c r="S69" s="68"/>
      <c r="T69" s="68"/>
      <c r="U69" s="68"/>
      <c r="V69" s="72" t="str">
        <f>HYPERLINK("https://pbs.twimg.com/profile_images/646237560868462597/sZUS7hsi_normal.jpg")</f>
        <v>https://pbs.twimg.com/profile_images/646237560868462597/sZUS7hsi_normal.jpg</v>
      </c>
      <c r="W69" s="70">
        <v>44697.12096064815</v>
      </c>
      <c r="X69" s="75">
        <v>44697</v>
      </c>
      <c r="Y69" s="73" t="s">
        <v>776</v>
      </c>
      <c r="Z69" s="72" t="str">
        <f>HYPERLINK("https://twitter.com/olivefarmer/status/1526033238678196224")</f>
        <v>https://twitter.com/olivefarmer/status/1526033238678196224</v>
      </c>
      <c r="AA69" s="68"/>
      <c r="AB69" s="68"/>
      <c r="AC69" s="73" t="s">
        <v>879</v>
      </c>
      <c r="AD69" s="68"/>
      <c r="AE69" s="68" t="b">
        <v>0</v>
      </c>
      <c r="AF69" s="68">
        <v>0</v>
      </c>
      <c r="AG69" s="73" t="s">
        <v>282</v>
      </c>
      <c r="AH69" s="68" t="b">
        <v>0</v>
      </c>
      <c r="AI69" s="68" t="s">
        <v>283</v>
      </c>
      <c r="AJ69" s="68"/>
      <c r="AK69" s="73" t="s">
        <v>282</v>
      </c>
      <c r="AL69" s="68" t="b">
        <v>0</v>
      </c>
      <c r="AM69" s="68">
        <v>14</v>
      </c>
      <c r="AN69" s="73" t="s">
        <v>915</v>
      </c>
      <c r="AO69" s="73" t="s">
        <v>285</v>
      </c>
      <c r="AP69" s="68" t="b">
        <v>0</v>
      </c>
      <c r="AQ69" s="73" t="s">
        <v>915</v>
      </c>
      <c r="AR69" s="68" t="s">
        <v>218</v>
      </c>
      <c r="AS69" s="68">
        <v>0</v>
      </c>
      <c r="AT69" s="68">
        <v>0</v>
      </c>
      <c r="AU69" s="68"/>
      <c r="AV69" s="68"/>
      <c r="AW69" s="68"/>
      <c r="AX69" s="68"/>
      <c r="AY69" s="68"/>
      <c r="AZ69" s="68"/>
      <c r="BA69" s="68"/>
      <c r="BB69" s="68"/>
      <c r="BC69" s="68">
        <v>1</v>
      </c>
      <c r="BD69" s="67" t="str">
        <f>REPLACE(INDEX(GroupVertices[Group],MATCH(Edges[[#This Row],[Vertex 1]],GroupVertices[Vertex],0)),1,1,"")</f>
        <v>3</v>
      </c>
      <c r="BE69" s="67" t="str">
        <f>REPLACE(INDEX(GroupVertices[Group],MATCH(Edges[[#This Row],[Vertex 2]],GroupVertices[Vertex],0)),1,1,"")</f>
        <v>3</v>
      </c>
      <c r="BF69" s="49">
        <v>1</v>
      </c>
      <c r="BG69" s="50">
        <v>2.3255813953488373</v>
      </c>
      <c r="BH69" s="49">
        <v>0</v>
      </c>
      <c r="BI69" s="50">
        <v>0</v>
      </c>
      <c r="BJ69" s="49">
        <v>0</v>
      </c>
      <c r="BK69" s="50">
        <v>0</v>
      </c>
      <c r="BL69" s="49">
        <v>42</v>
      </c>
      <c r="BM69" s="50">
        <v>97.67441860465117</v>
      </c>
      <c r="BN69" s="49">
        <v>43</v>
      </c>
    </row>
    <row r="70" spans="1:66" ht="15">
      <c r="A70" s="66" t="s">
        <v>593</v>
      </c>
      <c r="B70" s="66" t="s">
        <v>629</v>
      </c>
      <c r="C70" s="84" t="s">
        <v>538</v>
      </c>
      <c r="D70" s="94">
        <v>5</v>
      </c>
      <c r="E70" s="84"/>
      <c r="F70" s="96">
        <v>50</v>
      </c>
      <c r="G70" s="84"/>
      <c r="H70" s="82"/>
      <c r="I70" s="97"/>
      <c r="J70" s="97"/>
      <c r="K70" s="35" t="s">
        <v>65</v>
      </c>
      <c r="L70" s="98">
        <v>70</v>
      </c>
      <c r="M70" s="98"/>
      <c r="N70" s="99"/>
      <c r="O70" s="68" t="s">
        <v>262</v>
      </c>
      <c r="P70" s="70">
        <v>44697.12630787037</v>
      </c>
      <c r="Q70" s="68" t="s">
        <v>672</v>
      </c>
      <c r="R70" s="68"/>
      <c r="S70" s="68"/>
      <c r="T70" s="68"/>
      <c r="U70" s="68"/>
      <c r="V70" s="72" t="str">
        <f>HYPERLINK("https://pbs.twimg.com/profile_images/81534353/russb_gravatar_normal.png")</f>
        <v>https://pbs.twimg.com/profile_images/81534353/russb_gravatar_normal.png</v>
      </c>
      <c r="W70" s="70">
        <v>44697.12630787037</v>
      </c>
      <c r="X70" s="75">
        <v>44697</v>
      </c>
      <c r="Y70" s="73" t="s">
        <v>777</v>
      </c>
      <c r="Z70" s="72" t="str">
        <f>HYPERLINK("https://twitter.com/publicaddress/status/1526035180120862720")</f>
        <v>https://twitter.com/publicaddress/status/1526035180120862720</v>
      </c>
      <c r="AA70" s="68"/>
      <c r="AB70" s="68"/>
      <c r="AC70" s="73" t="s">
        <v>880</v>
      </c>
      <c r="AD70" s="68"/>
      <c r="AE70" s="68" t="b">
        <v>0</v>
      </c>
      <c r="AF70" s="68">
        <v>0</v>
      </c>
      <c r="AG70" s="73" t="s">
        <v>282</v>
      </c>
      <c r="AH70" s="68" t="b">
        <v>0</v>
      </c>
      <c r="AI70" s="68" t="s">
        <v>283</v>
      </c>
      <c r="AJ70" s="68"/>
      <c r="AK70" s="73" t="s">
        <v>282</v>
      </c>
      <c r="AL70" s="68" t="b">
        <v>0</v>
      </c>
      <c r="AM70" s="68">
        <v>13</v>
      </c>
      <c r="AN70" s="73" t="s">
        <v>920</v>
      </c>
      <c r="AO70" s="73" t="s">
        <v>285</v>
      </c>
      <c r="AP70" s="68" t="b">
        <v>0</v>
      </c>
      <c r="AQ70" s="73" t="s">
        <v>920</v>
      </c>
      <c r="AR70" s="68" t="s">
        <v>218</v>
      </c>
      <c r="AS70" s="68">
        <v>0</v>
      </c>
      <c r="AT70" s="68">
        <v>0</v>
      </c>
      <c r="AU70" s="68"/>
      <c r="AV70" s="68"/>
      <c r="AW70" s="68"/>
      <c r="AX70" s="68"/>
      <c r="AY70" s="68"/>
      <c r="AZ70" s="68"/>
      <c r="BA70" s="68"/>
      <c r="BB70" s="68"/>
      <c r="BC70" s="68">
        <v>1</v>
      </c>
      <c r="BD70" s="67" t="str">
        <f>REPLACE(INDEX(GroupVertices[Group],MATCH(Edges[[#This Row],[Vertex 1]],GroupVertices[Vertex],0)),1,1,"")</f>
        <v>1</v>
      </c>
      <c r="BE70" s="67" t="str">
        <f>REPLACE(INDEX(GroupVertices[Group],MATCH(Edges[[#This Row],[Vertex 2]],GroupVertices[Vertex],0)),1,1,"")</f>
        <v>1</v>
      </c>
      <c r="BF70" s="49">
        <v>2</v>
      </c>
      <c r="BG70" s="50">
        <v>4</v>
      </c>
      <c r="BH70" s="49">
        <v>0</v>
      </c>
      <c r="BI70" s="50">
        <v>0</v>
      </c>
      <c r="BJ70" s="49">
        <v>0</v>
      </c>
      <c r="BK70" s="50">
        <v>0</v>
      </c>
      <c r="BL70" s="49">
        <v>48</v>
      </c>
      <c r="BM70" s="50">
        <v>96</v>
      </c>
      <c r="BN70" s="49">
        <v>50</v>
      </c>
    </row>
    <row r="71" spans="1:66" ht="15">
      <c r="A71" s="66" t="s">
        <v>594</v>
      </c>
      <c r="B71" s="66" t="s">
        <v>629</v>
      </c>
      <c r="C71" s="84" t="s">
        <v>538</v>
      </c>
      <c r="D71" s="94">
        <v>5</v>
      </c>
      <c r="E71" s="84"/>
      <c r="F71" s="96">
        <v>50</v>
      </c>
      <c r="G71" s="84"/>
      <c r="H71" s="82"/>
      <c r="I71" s="97"/>
      <c r="J71" s="97"/>
      <c r="K71" s="35" t="s">
        <v>65</v>
      </c>
      <c r="L71" s="98">
        <v>71</v>
      </c>
      <c r="M71" s="98"/>
      <c r="N71" s="99"/>
      <c r="O71" s="68" t="s">
        <v>262</v>
      </c>
      <c r="P71" s="70">
        <v>44697.12734953704</v>
      </c>
      <c r="Q71" s="68" t="s">
        <v>672</v>
      </c>
      <c r="R71" s="68"/>
      <c r="S71" s="68"/>
      <c r="T71" s="68"/>
      <c r="U71" s="68"/>
      <c r="V71" s="72" t="str">
        <f>HYPERLINK("https://pbs.twimg.com/profile_images/1508682462410715137/nuOx04UL_normal.jpg")</f>
        <v>https://pbs.twimg.com/profile_images/1508682462410715137/nuOx04UL_normal.jpg</v>
      </c>
      <c r="W71" s="70">
        <v>44697.12734953704</v>
      </c>
      <c r="X71" s="75">
        <v>44697</v>
      </c>
      <c r="Y71" s="73" t="s">
        <v>778</v>
      </c>
      <c r="Z71" s="72" t="str">
        <f>HYPERLINK("https://twitter.com/bigfunk__/status/1526035555129389057")</f>
        <v>https://twitter.com/bigfunk__/status/1526035555129389057</v>
      </c>
      <c r="AA71" s="68"/>
      <c r="AB71" s="68"/>
      <c r="AC71" s="73" t="s">
        <v>881</v>
      </c>
      <c r="AD71" s="68"/>
      <c r="AE71" s="68" t="b">
        <v>0</v>
      </c>
      <c r="AF71" s="68">
        <v>0</v>
      </c>
      <c r="AG71" s="73" t="s">
        <v>282</v>
      </c>
      <c r="AH71" s="68" t="b">
        <v>0</v>
      </c>
      <c r="AI71" s="68" t="s">
        <v>283</v>
      </c>
      <c r="AJ71" s="68"/>
      <c r="AK71" s="73" t="s">
        <v>282</v>
      </c>
      <c r="AL71" s="68" t="b">
        <v>0</v>
      </c>
      <c r="AM71" s="68">
        <v>13</v>
      </c>
      <c r="AN71" s="73" t="s">
        <v>920</v>
      </c>
      <c r="AO71" s="73" t="s">
        <v>284</v>
      </c>
      <c r="AP71" s="68" t="b">
        <v>0</v>
      </c>
      <c r="AQ71" s="73" t="s">
        <v>920</v>
      </c>
      <c r="AR71" s="68" t="s">
        <v>218</v>
      </c>
      <c r="AS71" s="68">
        <v>0</v>
      </c>
      <c r="AT71" s="68">
        <v>0</v>
      </c>
      <c r="AU71" s="68"/>
      <c r="AV71" s="68"/>
      <c r="AW71" s="68"/>
      <c r="AX71" s="68"/>
      <c r="AY71" s="68"/>
      <c r="AZ71" s="68"/>
      <c r="BA71" s="68"/>
      <c r="BB71" s="68"/>
      <c r="BC71" s="68">
        <v>1</v>
      </c>
      <c r="BD71" s="67" t="str">
        <f>REPLACE(INDEX(GroupVertices[Group],MATCH(Edges[[#This Row],[Vertex 1]],GroupVertices[Vertex],0)),1,1,"")</f>
        <v>1</v>
      </c>
      <c r="BE71" s="67" t="str">
        <f>REPLACE(INDEX(GroupVertices[Group],MATCH(Edges[[#This Row],[Vertex 2]],GroupVertices[Vertex],0)),1,1,"")</f>
        <v>1</v>
      </c>
      <c r="BF71" s="49">
        <v>2</v>
      </c>
      <c r="BG71" s="50">
        <v>4</v>
      </c>
      <c r="BH71" s="49">
        <v>0</v>
      </c>
      <c r="BI71" s="50">
        <v>0</v>
      </c>
      <c r="BJ71" s="49">
        <v>0</v>
      </c>
      <c r="BK71" s="50">
        <v>0</v>
      </c>
      <c r="BL71" s="49">
        <v>48</v>
      </c>
      <c r="BM71" s="50">
        <v>96</v>
      </c>
      <c r="BN71" s="49">
        <v>50</v>
      </c>
    </row>
    <row r="72" spans="1:66" ht="15">
      <c r="A72" s="66" t="s">
        <v>595</v>
      </c>
      <c r="B72" s="66" t="s">
        <v>629</v>
      </c>
      <c r="C72" s="84" t="s">
        <v>538</v>
      </c>
      <c r="D72" s="94">
        <v>5</v>
      </c>
      <c r="E72" s="84"/>
      <c r="F72" s="96">
        <v>50</v>
      </c>
      <c r="G72" s="84"/>
      <c r="H72" s="82"/>
      <c r="I72" s="97"/>
      <c r="J72" s="97"/>
      <c r="K72" s="35" t="s">
        <v>65</v>
      </c>
      <c r="L72" s="98">
        <v>72</v>
      </c>
      <c r="M72" s="98"/>
      <c r="N72" s="99"/>
      <c r="O72" s="68" t="s">
        <v>262</v>
      </c>
      <c r="P72" s="70">
        <v>44697.1391087963</v>
      </c>
      <c r="Q72" s="68" t="s">
        <v>671</v>
      </c>
      <c r="R72" s="68"/>
      <c r="S72" s="68"/>
      <c r="T72" s="68"/>
      <c r="U72" s="68"/>
      <c r="V72" s="72" t="str">
        <f>HYPERLINK("https://pbs.twimg.com/profile_images/131621671/square_scoop_normal.jpg")</f>
        <v>https://pbs.twimg.com/profile_images/131621671/square_scoop_normal.jpg</v>
      </c>
      <c r="W72" s="70">
        <v>44697.1391087963</v>
      </c>
      <c r="X72" s="75">
        <v>44697</v>
      </c>
      <c r="Y72" s="73" t="s">
        <v>779</v>
      </c>
      <c r="Z72" s="72" t="str">
        <f>HYPERLINK("https://twitter.com/scoopwellington/status/1526039818245144576")</f>
        <v>https://twitter.com/scoopwellington/status/1526039818245144576</v>
      </c>
      <c r="AA72" s="68"/>
      <c r="AB72" s="68"/>
      <c r="AC72" s="73" t="s">
        <v>882</v>
      </c>
      <c r="AD72" s="68"/>
      <c r="AE72" s="68" t="b">
        <v>0</v>
      </c>
      <c r="AF72" s="68">
        <v>0</v>
      </c>
      <c r="AG72" s="73" t="s">
        <v>282</v>
      </c>
      <c r="AH72" s="68" t="b">
        <v>0</v>
      </c>
      <c r="AI72" s="68" t="s">
        <v>283</v>
      </c>
      <c r="AJ72" s="68"/>
      <c r="AK72" s="73" t="s">
        <v>282</v>
      </c>
      <c r="AL72" s="68" t="b">
        <v>0</v>
      </c>
      <c r="AM72" s="68">
        <v>11</v>
      </c>
      <c r="AN72" s="73" t="s">
        <v>919</v>
      </c>
      <c r="AO72" s="73" t="s">
        <v>285</v>
      </c>
      <c r="AP72" s="68" t="b">
        <v>0</v>
      </c>
      <c r="AQ72" s="73" t="s">
        <v>919</v>
      </c>
      <c r="AR72" s="68" t="s">
        <v>218</v>
      </c>
      <c r="AS72" s="68">
        <v>0</v>
      </c>
      <c r="AT72" s="68">
        <v>0</v>
      </c>
      <c r="AU72" s="68"/>
      <c r="AV72" s="68"/>
      <c r="AW72" s="68"/>
      <c r="AX72" s="68"/>
      <c r="AY72" s="68"/>
      <c r="AZ72" s="68"/>
      <c r="BA72" s="68"/>
      <c r="BB72" s="68"/>
      <c r="BC72" s="68">
        <v>1</v>
      </c>
      <c r="BD72" s="67" t="str">
        <f>REPLACE(INDEX(GroupVertices[Group],MATCH(Edges[[#This Row],[Vertex 1]],GroupVertices[Vertex],0)),1,1,"")</f>
        <v>1</v>
      </c>
      <c r="BE72" s="67" t="str">
        <f>REPLACE(INDEX(GroupVertices[Group],MATCH(Edges[[#This Row],[Vertex 2]],GroupVertices[Vertex],0)),1,1,"")</f>
        <v>1</v>
      </c>
      <c r="BF72" s="49">
        <v>1</v>
      </c>
      <c r="BG72" s="50">
        <v>2.272727272727273</v>
      </c>
      <c r="BH72" s="49">
        <v>0</v>
      </c>
      <c r="BI72" s="50">
        <v>0</v>
      </c>
      <c r="BJ72" s="49">
        <v>0</v>
      </c>
      <c r="BK72" s="50">
        <v>0</v>
      </c>
      <c r="BL72" s="49">
        <v>43</v>
      </c>
      <c r="BM72" s="50">
        <v>97.72727272727273</v>
      </c>
      <c r="BN72" s="49">
        <v>44</v>
      </c>
    </row>
    <row r="73" spans="1:66" ht="15">
      <c r="A73" s="66" t="s">
        <v>596</v>
      </c>
      <c r="B73" s="66" t="s">
        <v>629</v>
      </c>
      <c r="C73" s="84" t="s">
        <v>538</v>
      </c>
      <c r="D73" s="94">
        <v>5</v>
      </c>
      <c r="E73" s="84"/>
      <c r="F73" s="96">
        <v>50</v>
      </c>
      <c r="G73" s="84"/>
      <c r="H73" s="82"/>
      <c r="I73" s="97"/>
      <c r="J73" s="97"/>
      <c r="K73" s="35" t="s">
        <v>65</v>
      </c>
      <c r="L73" s="98">
        <v>73</v>
      </c>
      <c r="M73" s="98"/>
      <c r="N73" s="99"/>
      <c r="O73" s="68" t="s">
        <v>262</v>
      </c>
      <c r="P73" s="70">
        <v>44697.14350694444</v>
      </c>
      <c r="Q73" s="68" t="s">
        <v>672</v>
      </c>
      <c r="R73" s="68"/>
      <c r="S73" s="68"/>
      <c r="T73" s="68"/>
      <c r="U73" s="68"/>
      <c r="V73" s="72" t="str">
        <f>HYPERLINK("https://pbs.twimg.com/profile_images/957033521633099776/lnEjrroe_normal.jpg")</f>
        <v>https://pbs.twimg.com/profile_images/957033521633099776/lnEjrroe_normal.jpg</v>
      </c>
      <c r="W73" s="70">
        <v>44697.14350694444</v>
      </c>
      <c r="X73" s="75">
        <v>44697</v>
      </c>
      <c r="Y73" s="73" t="s">
        <v>780</v>
      </c>
      <c r="Z73" s="72" t="str">
        <f>HYPERLINK("https://twitter.com/julieannegenter/status/1526041409433632768")</f>
        <v>https://twitter.com/julieannegenter/status/1526041409433632768</v>
      </c>
      <c r="AA73" s="68"/>
      <c r="AB73" s="68"/>
      <c r="AC73" s="73" t="s">
        <v>883</v>
      </c>
      <c r="AD73" s="68"/>
      <c r="AE73" s="68" t="b">
        <v>0</v>
      </c>
      <c r="AF73" s="68">
        <v>0</v>
      </c>
      <c r="AG73" s="73" t="s">
        <v>282</v>
      </c>
      <c r="AH73" s="68" t="b">
        <v>0</v>
      </c>
      <c r="AI73" s="68" t="s">
        <v>283</v>
      </c>
      <c r="AJ73" s="68"/>
      <c r="AK73" s="73" t="s">
        <v>282</v>
      </c>
      <c r="AL73" s="68" t="b">
        <v>0</v>
      </c>
      <c r="AM73" s="68">
        <v>13</v>
      </c>
      <c r="AN73" s="73" t="s">
        <v>920</v>
      </c>
      <c r="AO73" s="73" t="s">
        <v>284</v>
      </c>
      <c r="AP73" s="68" t="b">
        <v>0</v>
      </c>
      <c r="AQ73" s="73" t="s">
        <v>920</v>
      </c>
      <c r="AR73" s="68" t="s">
        <v>218</v>
      </c>
      <c r="AS73" s="68">
        <v>0</v>
      </c>
      <c r="AT73" s="68">
        <v>0</v>
      </c>
      <c r="AU73" s="68"/>
      <c r="AV73" s="68"/>
      <c r="AW73" s="68"/>
      <c r="AX73" s="68"/>
      <c r="AY73" s="68"/>
      <c r="AZ73" s="68"/>
      <c r="BA73" s="68"/>
      <c r="BB73" s="68"/>
      <c r="BC73" s="68">
        <v>1</v>
      </c>
      <c r="BD73" s="67" t="str">
        <f>REPLACE(INDEX(GroupVertices[Group],MATCH(Edges[[#This Row],[Vertex 1]],GroupVertices[Vertex],0)),1,1,"")</f>
        <v>1</v>
      </c>
      <c r="BE73" s="67" t="str">
        <f>REPLACE(INDEX(GroupVertices[Group],MATCH(Edges[[#This Row],[Vertex 2]],GroupVertices[Vertex],0)),1,1,"")</f>
        <v>1</v>
      </c>
      <c r="BF73" s="49">
        <v>2</v>
      </c>
      <c r="BG73" s="50">
        <v>4</v>
      </c>
      <c r="BH73" s="49">
        <v>0</v>
      </c>
      <c r="BI73" s="50">
        <v>0</v>
      </c>
      <c r="BJ73" s="49">
        <v>0</v>
      </c>
      <c r="BK73" s="50">
        <v>0</v>
      </c>
      <c r="BL73" s="49">
        <v>48</v>
      </c>
      <c r="BM73" s="50">
        <v>96</v>
      </c>
      <c r="BN73" s="49">
        <v>50</v>
      </c>
    </row>
    <row r="74" spans="1:66" ht="15">
      <c r="A74" s="66" t="s">
        <v>597</v>
      </c>
      <c r="B74" s="66" t="s">
        <v>629</v>
      </c>
      <c r="C74" s="84" t="s">
        <v>538</v>
      </c>
      <c r="D74" s="94">
        <v>5</v>
      </c>
      <c r="E74" s="84"/>
      <c r="F74" s="96">
        <v>50</v>
      </c>
      <c r="G74" s="84"/>
      <c r="H74" s="82"/>
      <c r="I74" s="97"/>
      <c r="J74" s="97"/>
      <c r="K74" s="35" t="s">
        <v>65</v>
      </c>
      <c r="L74" s="98">
        <v>74</v>
      </c>
      <c r="M74" s="98"/>
      <c r="N74" s="99"/>
      <c r="O74" s="68" t="s">
        <v>262</v>
      </c>
      <c r="P74" s="70">
        <v>44697.14498842593</v>
      </c>
      <c r="Q74" s="68" t="s">
        <v>672</v>
      </c>
      <c r="R74" s="68"/>
      <c r="S74" s="68"/>
      <c r="T74" s="68"/>
      <c r="U74" s="68"/>
      <c r="V74" s="72" t="str">
        <f>HYPERLINK("https://pbs.twimg.com/profile_images/1518093307960004608/6YtJq09a_normal.jpg")</f>
        <v>https://pbs.twimg.com/profile_images/1518093307960004608/6YtJq09a_normal.jpg</v>
      </c>
      <c r="W74" s="70">
        <v>44697.14498842593</v>
      </c>
      <c r="X74" s="75">
        <v>44697</v>
      </c>
      <c r="Y74" s="73" t="s">
        <v>781</v>
      </c>
      <c r="Z74" s="72" t="str">
        <f>HYPERLINK("https://twitter.com/mighty_kites/status/1526041947466792960")</f>
        <v>https://twitter.com/mighty_kites/status/1526041947466792960</v>
      </c>
      <c r="AA74" s="68"/>
      <c r="AB74" s="68"/>
      <c r="AC74" s="73" t="s">
        <v>884</v>
      </c>
      <c r="AD74" s="68"/>
      <c r="AE74" s="68" t="b">
        <v>0</v>
      </c>
      <c r="AF74" s="68">
        <v>0</v>
      </c>
      <c r="AG74" s="73" t="s">
        <v>282</v>
      </c>
      <c r="AH74" s="68" t="b">
        <v>0</v>
      </c>
      <c r="AI74" s="68" t="s">
        <v>283</v>
      </c>
      <c r="AJ74" s="68"/>
      <c r="AK74" s="73" t="s">
        <v>282</v>
      </c>
      <c r="AL74" s="68" t="b">
        <v>0</v>
      </c>
      <c r="AM74" s="68">
        <v>13</v>
      </c>
      <c r="AN74" s="73" t="s">
        <v>920</v>
      </c>
      <c r="AO74" s="73" t="s">
        <v>284</v>
      </c>
      <c r="AP74" s="68" t="b">
        <v>0</v>
      </c>
      <c r="AQ74" s="73" t="s">
        <v>920</v>
      </c>
      <c r="AR74" s="68" t="s">
        <v>218</v>
      </c>
      <c r="AS74" s="68">
        <v>0</v>
      </c>
      <c r="AT74" s="68">
        <v>0</v>
      </c>
      <c r="AU74" s="68"/>
      <c r="AV74" s="68"/>
      <c r="AW74" s="68"/>
      <c r="AX74" s="68"/>
      <c r="AY74" s="68"/>
      <c r="AZ74" s="68"/>
      <c r="BA74" s="68"/>
      <c r="BB74" s="68"/>
      <c r="BC74" s="68">
        <v>1</v>
      </c>
      <c r="BD74" s="67" t="str">
        <f>REPLACE(INDEX(GroupVertices[Group],MATCH(Edges[[#This Row],[Vertex 1]],GroupVertices[Vertex],0)),1,1,"")</f>
        <v>1</v>
      </c>
      <c r="BE74" s="67" t="str">
        <f>REPLACE(INDEX(GroupVertices[Group],MATCH(Edges[[#This Row],[Vertex 2]],GroupVertices[Vertex],0)),1,1,"")</f>
        <v>1</v>
      </c>
      <c r="BF74" s="49">
        <v>2</v>
      </c>
      <c r="BG74" s="50">
        <v>4</v>
      </c>
      <c r="BH74" s="49">
        <v>0</v>
      </c>
      <c r="BI74" s="50">
        <v>0</v>
      </c>
      <c r="BJ74" s="49">
        <v>0</v>
      </c>
      <c r="BK74" s="50">
        <v>0</v>
      </c>
      <c r="BL74" s="49">
        <v>48</v>
      </c>
      <c r="BM74" s="50">
        <v>96</v>
      </c>
      <c r="BN74" s="49">
        <v>50</v>
      </c>
    </row>
    <row r="75" spans="1:66" ht="15">
      <c r="A75" s="66" t="s">
        <v>598</v>
      </c>
      <c r="B75" s="66" t="s">
        <v>629</v>
      </c>
      <c r="C75" s="84" t="s">
        <v>538</v>
      </c>
      <c r="D75" s="94">
        <v>5</v>
      </c>
      <c r="E75" s="84"/>
      <c r="F75" s="96">
        <v>50</v>
      </c>
      <c r="G75" s="84"/>
      <c r="H75" s="82"/>
      <c r="I75" s="97"/>
      <c r="J75" s="97"/>
      <c r="K75" s="35" t="s">
        <v>65</v>
      </c>
      <c r="L75" s="98">
        <v>75</v>
      </c>
      <c r="M75" s="98"/>
      <c r="N75" s="99"/>
      <c r="O75" s="68" t="s">
        <v>262</v>
      </c>
      <c r="P75" s="70">
        <v>44697.147361111114</v>
      </c>
      <c r="Q75" s="68" t="s">
        <v>672</v>
      </c>
      <c r="R75" s="68"/>
      <c r="S75" s="68"/>
      <c r="T75" s="68"/>
      <c r="U75" s="68"/>
      <c r="V75" s="72" t="str">
        <f>HYPERLINK("https://pbs.twimg.com/profile_images/729500103212294144/B2HW-xru_normal.jpg")</f>
        <v>https://pbs.twimg.com/profile_images/729500103212294144/B2HW-xru_normal.jpg</v>
      </c>
      <c r="W75" s="70">
        <v>44697.147361111114</v>
      </c>
      <c r="X75" s="75">
        <v>44697</v>
      </c>
      <c r="Y75" s="73" t="s">
        <v>782</v>
      </c>
      <c r="Z75" s="72" t="str">
        <f>HYPERLINK("https://twitter.com/whiskymead/status/1526042809152962560")</f>
        <v>https://twitter.com/whiskymead/status/1526042809152962560</v>
      </c>
      <c r="AA75" s="68"/>
      <c r="AB75" s="68"/>
      <c r="AC75" s="73" t="s">
        <v>885</v>
      </c>
      <c r="AD75" s="68"/>
      <c r="AE75" s="68" t="b">
        <v>0</v>
      </c>
      <c r="AF75" s="68">
        <v>0</v>
      </c>
      <c r="AG75" s="73" t="s">
        <v>282</v>
      </c>
      <c r="AH75" s="68" t="b">
        <v>0</v>
      </c>
      <c r="AI75" s="68" t="s">
        <v>283</v>
      </c>
      <c r="AJ75" s="68"/>
      <c r="AK75" s="73" t="s">
        <v>282</v>
      </c>
      <c r="AL75" s="68" t="b">
        <v>0</v>
      </c>
      <c r="AM75" s="68">
        <v>13</v>
      </c>
      <c r="AN75" s="73" t="s">
        <v>920</v>
      </c>
      <c r="AO75" s="73" t="s">
        <v>285</v>
      </c>
      <c r="AP75" s="68" t="b">
        <v>0</v>
      </c>
      <c r="AQ75" s="73" t="s">
        <v>920</v>
      </c>
      <c r="AR75" s="68" t="s">
        <v>218</v>
      </c>
      <c r="AS75" s="68">
        <v>0</v>
      </c>
      <c r="AT75" s="68">
        <v>0</v>
      </c>
      <c r="AU75" s="68"/>
      <c r="AV75" s="68"/>
      <c r="AW75" s="68"/>
      <c r="AX75" s="68"/>
      <c r="AY75" s="68"/>
      <c r="AZ75" s="68"/>
      <c r="BA75" s="68"/>
      <c r="BB75" s="68"/>
      <c r="BC75" s="68">
        <v>1</v>
      </c>
      <c r="BD75" s="67" t="str">
        <f>REPLACE(INDEX(GroupVertices[Group],MATCH(Edges[[#This Row],[Vertex 1]],GroupVertices[Vertex],0)),1,1,"")</f>
        <v>1</v>
      </c>
      <c r="BE75" s="67" t="str">
        <f>REPLACE(INDEX(GroupVertices[Group],MATCH(Edges[[#This Row],[Vertex 2]],GroupVertices[Vertex],0)),1,1,"")</f>
        <v>1</v>
      </c>
      <c r="BF75" s="49">
        <v>2</v>
      </c>
      <c r="BG75" s="50">
        <v>4</v>
      </c>
      <c r="BH75" s="49">
        <v>0</v>
      </c>
      <c r="BI75" s="50">
        <v>0</v>
      </c>
      <c r="BJ75" s="49">
        <v>0</v>
      </c>
      <c r="BK75" s="50">
        <v>0</v>
      </c>
      <c r="BL75" s="49">
        <v>48</v>
      </c>
      <c r="BM75" s="50">
        <v>96</v>
      </c>
      <c r="BN75" s="49">
        <v>50</v>
      </c>
    </row>
    <row r="76" spans="1:66" ht="15">
      <c r="A76" s="66" t="s">
        <v>599</v>
      </c>
      <c r="B76" s="66" t="s">
        <v>629</v>
      </c>
      <c r="C76" s="84" t="s">
        <v>2013</v>
      </c>
      <c r="D76" s="94">
        <v>5</v>
      </c>
      <c r="E76" s="84"/>
      <c r="F76" s="96">
        <v>50</v>
      </c>
      <c r="G76" s="84"/>
      <c r="H76" s="82"/>
      <c r="I76" s="97"/>
      <c r="J76" s="97"/>
      <c r="K76" s="35" t="s">
        <v>65</v>
      </c>
      <c r="L76" s="98">
        <v>76</v>
      </c>
      <c r="M76" s="98"/>
      <c r="N76" s="99"/>
      <c r="O76" s="68" t="s">
        <v>262</v>
      </c>
      <c r="P76" s="70">
        <v>44697.0252662037</v>
      </c>
      <c r="Q76" s="68" t="s">
        <v>671</v>
      </c>
      <c r="R76" s="68"/>
      <c r="S76" s="68"/>
      <c r="T76" s="68"/>
      <c r="U76" s="68"/>
      <c r="V76" s="72" t="str">
        <f>HYPERLINK("https://pbs.twimg.com/profile_images/1507188923935895556/Er2AiGiO_normal.jpg")</f>
        <v>https://pbs.twimg.com/profile_images/1507188923935895556/Er2AiGiO_normal.jpg</v>
      </c>
      <c r="W76" s="70">
        <v>44697.0252662037</v>
      </c>
      <c r="X76" s="75">
        <v>44697</v>
      </c>
      <c r="Y76" s="73" t="s">
        <v>783</v>
      </c>
      <c r="Z76" s="72" t="str">
        <f>HYPERLINK("https://twitter.com/misswhanau/status/1525998559879114753")</f>
        <v>https://twitter.com/misswhanau/status/1525998559879114753</v>
      </c>
      <c r="AA76" s="68"/>
      <c r="AB76" s="68"/>
      <c r="AC76" s="73" t="s">
        <v>886</v>
      </c>
      <c r="AD76" s="68"/>
      <c r="AE76" s="68" t="b">
        <v>0</v>
      </c>
      <c r="AF76" s="68">
        <v>0</v>
      </c>
      <c r="AG76" s="73" t="s">
        <v>282</v>
      </c>
      <c r="AH76" s="68" t="b">
        <v>0</v>
      </c>
      <c r="AI76" s="68" t="s">
        <v>283</v>
      </c>
      <c r="AJ76" s="68"/>
      <c r="AK76" s="73" t="s">
        <v>282</v>
      </c>
      <c r="AL76" s="68" t="b">
        <v>0</v>
      </c>
      <c r="AM76" s="68">
        <v>11</v>
      </c>
      <c r="AN76" s="73" t="s">
        <v>919</v>
      </c>
      <c r="AO76" s="73" t="s">
        <v>285</v>
      </c>
      <c r="AP76" s="68" t="b">
        <v>0</v>
      </c>
      <c r="AQ76" s="73" t="s">
        <v>919</v>
      </c>
      <c r="AR76" s="68" t="s">
        <v>218</v>
      </c>
      <c r="AS76" s="68">
        <v>0</v>
      </c>
      <c r="AT76" s="68">
        <v>0</v>
      </c>
      <c r="AU76" s="68"/>
      <c r="AV76" s="68"/>
      <c r="AW76" s="68"/>
      <c r="AX76" s="68"/>
      <c r="AY76" s="68"/>
      <c r="AZ76" s="68"/>
      <c r="BA76" s="68"/>
      <c r="BB76" s="68"/>
      <c r="BC76" s="68">
        <v>2</v>
      </c>
      <c r="BD76" s="67" t="str">
        <f>REPLACE(INDEX(GroupVertices[Group],MATCH(Edges[[#This Row],[Vertex 1]],GroupVertices[Vertex],0)),1,1,"")</f>
        <v>1</v>
      </c>
      <c r="BE76" s="67" t="str">
        <f>REPLACE(INDEX(GroupVertices[Group],MATCH(Edges[[#This Row],[Vertex 2]],GroupVertices[Vertex],0)),1,1,"")</f>
        <v>1</v>
      </c>
      <c r="BF76" s="49">
        <v>1</v>
      </c>
      <c r="BG76" s="50">
        <v>2.272727272727273</v>
      </c>
      <c r="BH76" s="49">
        <v>0</v>
      </c>
      <c r="BI76" s="50">
        <v>0</v>
      </c>
      <c r="BJ76" s="49">
        <v>0</v>
      </c>
      <c r="BK76" s="50">
        <v>0</v>
      </c>
      <c r="BL76" s="49">
        <v>43</v>
      </c>
      <c r="BM76" s="50">
        <v>97.72727272727273</v>
      </c>
      <c r="BN76" s="49">
        <v>44</v>
      </c>
    </row>
    <row r="77" spans="1:66" ht="15">
      <c r="A77" s="66" t="s">
        <v>599</v>
      </c>
      <c r="B77" s="66" t="s">
        <v>629</v>
      </c>
      <c r="C77" s="84" t="s">
        <v>2013</v>
      </c>
      <c r="D77" s="94">
        <v>5</v>
      </c>
      <c r="E77" s="84"/>
      <c r="F77" s="96">
        <v>50</v>
      </c>
      <c r="G77" s="84"/>
      <c r="H77" s="82"/>
      <c r="I77" s="97"/>
      <c r="J77" s="97"/>
      <c r="K77" s="35" t="s">
        <v>65</v>
      </c>
      <c r="L77" s="98">
        <v>77</v>
      </c>
      <c r="M77" s="98"/>
      <c r="N77" s="99"/>
      <c r="O77" s="68" t="s">
        <v>262</v>
      </c>
      <c r="P77" s="70">
        <v>44697.156956018516</v>
      </c>
      <c r="Q77" s="68" t="s">
        <v>672</v>
      </c>
      <c r="R77" s="68"/>
      <c r="S77" s="68"/>
      <c r="T77" s="68"/>
      <c r="U77" s="68"/>
      <c r="V77" s="72" t="str">
        <f>HYPERLINK("https://pbs.twimg.com/profile_images/1507188923935895556/Er2AiGiO_normal.jpg")</f>
        <v>https://pbs.twimg.com/profile_images/1507188923935895556/Er2AiGiO_normal.jpg</v>
      </c>
      <c r="W77" s="70">
        <v>44697.156956018516</v>
      </c>
      <c r="X77" s="75">
        <v>44697</v>
      </c>
      <c r="Y77" s="73" t="s">
        <v>784</v>
      </c>
      <c r="Z77" s="72" t="str">
        <f>HYPERLINK("https://twitter.com/misswhanau/status/1526046284553293826")</f>
        <v>https://twitter.com/misswhanau/status/1526046284553293826</v>
      </c>
      <c r="AA77" s="68"/>
      <c r="AB77" s="68"/>
      <c r="AC77" s="73" t="s">
        <v>887</v>
      </c>
      <c r="AD77" s="68"/>
      <c r="AE77" s="68" t="b">
        <v>0</v>
      </c>
      <c r="AF77" s="68">
        <v>0</v>
      </c>
      <c r="AG77" s="73" t="s">
        <v>282</v>
      </c>
      <c r="AH77" s="68" t="b">
        <v>0</v>
      </c>
      <c r="AI77" s="68" t="s">
        <v>283</v>
      </c>
      <c r="AJ77" s="68"/>
      <c r="AK77" s="73" t="s">
        <v>282</v>
      </c>
      <c r="AL77" s="68" t="b">
        <v>0</v>
      </c>
      <c r="AM77" s="68">
        <v>13</v>
      </c>
      <c r="AN77" s="73" t="s">
        <v>920</v>
      </c>
      <c r="AO77" s="73" t="s">
        <v>285</v>
      </c>
      <c r="AP77" s="68" t="b">
        <v>0</v>
      </c>
      <c r="AQ77" s="73" t="s">
        <v>920</v>
      </c>
      <c r="AR77" s="68" t="s">
        <v>218</v>
      </c>
      <c r="AS77" s="68">
        <v>0</v>
      </c>
      <c r="AT77" s="68">
        <v>0</v>
      </c>
      <c r="AU77" s="68"/>
      <c r="AV77" s="68"/>
      <c r="AW77" s="68"/>
      <c r="AX77" s="68"/>
      <c r="AY77" s="68"/>
      <c r="AZ77" s="68"/>
      <c r="BA77" s="68"/>
      <c r="BB77" s="68"/>
      <c r="BC77" s="68">
        <v>2</v>
      </c>
      <c r="BD77" s="67" t="str">
        <f>REPLACE(INDEX(GroupVertices[Group],MATCH(Edges[[#This Row],[Vertex 1]],GroupVertices[Vertex],0)),1,1,"")</f>
        <v>1</v>
      </c>
      <c r="BE77" s="67" t="str">
        <f>REPLACE(INDEX(GroupVertices[Group],MATCH(Edges[[#This Row],[Vertex 2]],GroupVertices[Vertex],0)),1,1,"")</f>
        <v>1</v>
      </c>
      <c r="BF77" s="49">
        <v>2</v>
      </c>
      <c r="BG77" s="50">
        <v>4</v>
      </c>
      <c r="BH77" s="49">
        <v>0</v>
      </c>
      <c r="BI77" s="50">
        <v>0</v>
      </c>
      <c r="BJ77" s="49">
        <v>0</v>
      </c>
      <c r="BK77" s="50">
        <v>0</v>
      </c>
      <c r="BL77" s="49">
        <v>48</v>
      </c>
      <c r="BM77" s="50">
        <v>96</v>
      </c>
      <c r="BN77" s="49">
        <v>50</v>
      </c>
    </row>
    <row r="78" spans="1:66" ht="15">
      <c r="A78" s="66" t="s">
        <v>600</v>
      </c>
      <c r="B78" s="66" t="s">
        <v>629</v>
      </c>
      <c r="C78" s="84" t="s">
        <v>538</v>
      </c>
      <c r="D78" s="94">
        <v>5</v>
      </c>
      <c r="E78" s="84"/>
      <c r="F78" s="96">
        <v>50</v>
      </c>
      <c r="G78" s="84"/>
      <c r="H78" s="82"/>
      <c r="I78" s="97"/>
      <c r="J78" s="97"/>
      <c r="K78" s="35" t="s">
        <v>65</v>
      </c>
      <c r="L78" s="98">
        <v>78</v>
      </c>
      <c r="M78" s="98"/>
      <c r="N78" s="99"/>
      <c r="O78" s="68" t="s">
        <v>262</v>
      </c>
      <c r="P78" s="70">
        <v>44697.16113425926</v>
      </c>
      <c r="Q78" s="68" t="s">
        <v>672</v>
      </c>
      <c r="R78" s="68"/>
      <c r="S78" s="68"/>
      <c r="T78" s="68"/>
      <c r="U78" s="68"/>
      <c r="V78" s="72" t="str">
        <f>HYPERLINK("https://pbs.twimg.com/profile_images/1413381251558346753/rTUSMAkL_normal.jpg")</f>
        <v>https://pbs.twimg.com/profile_images/1413381251558346753/rTUSMAkL_normal.jpg</v>
      </c>
      <c r="W78" s="70">
        <v>44697.16113425926</v>
      </c>
      <c r="X78" s="75">
        <v>44697</v>
      </c>
      <c r="Y78" s="73" t="s">
        <v>785</v>
      </c>
      <c r="Z78" s="72" t="str">
        <f>HYPERLINK("https://twitter.com/egmanash/status/1526047798105321472")</f>
        <v>https://twitter.com/egmanash/status/1526047798105321472</v>
      </c>
      <c r="AA78" s="68"/>
      <c r="AB78" s="68"/>
      <c r="AC78" s="73" t="s">
        <v>888</v>
      </c>
      <c r="AD78" s="68"/>
      <c r="AE78" s="68" t="b">
        <v>0</v>
      </c>
      <c r="AF78" s="68">
        <v>0</v>
      </c>
      <c r="AG78" s="73" t="s">
        <v>282</v>
      </c>
      <c r="AH78" s="68" t="b">
        <v>0</v>
      </c>
      <c r="AI78" s="68" t="s">
        <v>283</v>
      </c>
      <c r="AJ78" s="68"/>
      <c r="AK78" s="73" t="s">
        <v>282</v>
      </c>
      <c r="AL78" s="68" t="b">
        <v>0</v>
      </c>
      <c r="AM78" s="68">
        <v>13</v>
      </c>
      <c r="AN78" s="73" t="s">
        <v>920</v>
      </c>
      <c r="AO78" s="73" t="s">
        <v>284</v>
      </c>
      <c r="AP78" s="68" t="b">
        <v>0</v>
      </c>
      <c r="AQ78" s="73" t="s">
        <v>920</v>
      </c>
      <c r="AR78" s="68" t="s">
        <v>218</v>
      </c>
      <c r="AS78" s="68">
        <v>0</v>
      </c>
      <c r="AT78" s="68">
        <v>0</v>
      </c>
      <c r="AU78" s="68"/>
      <c r="AV78" s="68"/>
      <c r="AW78" s="68"/>
      <c r="AX78" s="68"/>
      <c r="AY78" s="68"/>
      <c r="AZ78" s="68"/>
      <c r="BA78" s="68"/>
      <c r="BB78" s="68"/>
      <c r="BC78" s="68">
        <v>1</v>
      </c>
      <c r="BD78" s="67" t="str">
        <f>REPLACE(INDEX(GroupVertices[Group],MATCH(Edges[[#This Row],[Vertex 1]],GroupVertices[Vertex],0)),1,1,"")</f>
        <v>1</v>
      </c>
      <c r="BE78" s="67" t="str">
        <f>REPLACE(INDEX(GroupVertices[Group],MATCH(Edges[[#This Row],[Vertex 2]],GroupVertices[Vertex],0)),1,1,"")</f>
        <v>1</v>
      </c>
      <c r="BF78" s="49">
        <v>2</v>
      </c>
      <c r="BG78" s="50">
        <v>4</v>
      </c>
      <c r="BH78" s="49">
        <v>0</v>
      </c>
      <c r="BI78" s="50">
        <v>0</v>
      </c>
      <c r="BJ78" s="49">
        <v>0</v>
      </c>
      <c r="BK78" s="50">
        <v>0</v>
      </c>
      <c r="BL78" s="49">
        <v>48</v>
      </c>
      <c r="BM78" s="50">
        <v>96</v>
      </c>
      <c r="BN78" s="49">
        <v>50</v>
      </c>
    </row>
    <row r="79" spans="1:66" ht="15">
      <c r="A79" s="66" t="s">
        <v>601</v>
      </c>
      <c r="B79" s="66" t="s">
        <v>601</v>
      </c>
      <c r="C79" s="84" t="s">
        <v>538</v>
      </c>
      <c r="D79" s="94">
        <v>5</v>
      </c>
      <c r="E79" s="84"/>
      <c r="F79" s="96">
        <v>50</v>
      </c>
      <c r="G79" s="84"/>
      <c r="H79" s="82"/>
      <c r="I79" s="97"/>
      <c r="J79" s="97"/>
      <c r="K79" s="35" t="s">
        <v>65</v>
      </c>
      <c r="L79" s="98">
        <v>79</v>
      </c>
      <c r="M79" s="98"/>
      <c r="N79" s="99"/>
      <c r="O79" s="68" t="s">
        <v>218</v>
      </c>
      <c r="P79" s="70">
        <v>44697.16636574074</v>
      </c>
      <c r="Q79" s="68" t="s">
        <v>677</v>
      </c>
      <c r="R79" s="72" t="str">
        <f>HYPERLINK("https://www.stuff.co.nz/environment/climate-news/128657390/emission-reduction-plan-govts-100km-commitment-to-safe-cycling-unambitious.html?utm_source=dlvr.it&amp;utm_medium=twitter")</f>
        <v>https://www.stuff.co.nz/environment/climate-news/128657390/emission-reduction-plan-govts-100km-commitment-to-safe-cycling-unambitious.html?utm_source=dlvr.it&amp;utm_medium=twitter</v>
      </c>
      <c r="S79" s="68" t="s">
        <v>269</v>
      </c>
      <c r="T79" s="68"/>
      <c r="U79" s="68"/>
      <c r="V79" s="72" t="str">
        <f>HYPERLINK("https://pbs.twimg.com/profile_images/740647118595969024/ZybR2s82_normal.jpg")</f>
        <v>https://pbs.twimg.com/profile_images/740647118595969024/ZybR2s82_normal.jpg</v>
      </c>
      <c r="W79" s="70">
        <v>44697.16636574074</v>
      </c>
      <c r="X79" s="75">
        <v>44697</v>
      </c>
      <c r="Y79" s="73" t="s">
        <v>786</v>
      </c>
      <c r="Z79" s="72" t="str">
        <f>HYPERLINK("https://twitter.com/stuffauckland/status/1526049695054778368")</f>
        <v>https://twitter.com/stuffauckland/status/1526049695054778368</v>
      </c>
      <c r="AA79" s="68"/>
      <c r="AB79" s="68"/>
      <c r="AC79" s="73" t="s">
        <v>889</v>
      </c>
      <c r="AD79" s="68"/>
      <c r="AE79" s="68" t="b">
        <v>0</v>
      </c>
      <c r="AF79" s="68">
        <v>2</v>
      </c>
      <c r="AG79" s="73" t="s">
        <v>282</v>
      </c>
      <c r="AH79" s="68" t="b">
        <v>0</v>
      </c>
      <c r="AI79" s="68" t="s">
        <v>283</v>
      </c>
      <c r="AJ79" s="68"/>
      <c r="AK79" s="73" t="s">
        <v>282</v>
      </c>
      <c r="AL79" s="68" t="b">
        <v>0</v>
      </c>
      <c r="AM79" s="68">
        <v>0</v>
      </c>
      <c r="AN79" s="73" t="s">
        <v>282</v>
      </c>
      <c r="AO79" s="73" t="s">
        <v>949</v>
      </c>
      <c r="AP79" s="68" t="b">
        <v>0</v>
      </c>
      <c r="AQ79" s="73" t="s">
        <v>889</v>
      </c>
      <c r="AR79" s="68" t="s">
        <v>218</v>
      </c>
      <c r="AS79" s="68">
        <v>0</v>
      </c>
      <c r="AT79" s="68">
        <v>0</v>
      </c>
      <c r="AU79" s="68"/>
      <c r="AV79" s="68"/>
      <c r="AW79" s="68"/>
      <c r="AX79" s="68"/>
      <c r="AY79" s="68"/>
      <c r="AZ79" s="68"/>
      <c r="BA79" s="68"/>
      <c r="BB79" s="68"/>
      <c r="BC79" s="68">
        <v>1</v>
      </c>
      <c r="BD79" s="67" t="str">
        <f>REPLACE(INDEX(GroupVertices[Group],MATCH(Edges[[#This Row],[Vertex 1]],GroupVertices[Vertex],0)),1,1,"")</f>
        <v>2</v>
      </c>
      <c r="BE79" s="67" t="str">
        <f>REPLACE(INDEX(GroupVertices[Group],MATCH(Edges[[#This Row],[Vertex 2]],GroupVertices[Vertex],0)),1,1,"")</f>
        <v>2</v>
      </c>
      <c r="BF79" s="49">
        <v>1</v>
      </c>
      <c r="BG79" s="50">
        <v>5.555555555555555</v>
      </c>
      <c r="BH79" s="49">
        <v>0</v>
      </c>
      <c r="BI79" s="50">
        <v>0</v>
      </c>
      <c r="BJ79" s="49">
        <v>0</v>
      </c>
      <c r="BK79" s="50">
        <v>0</v>
      </c>
      <c r="BL79" s="49">
        <v>17</v>
      </c>
      <c r="BM79" s="50">
        <v>94.44444444444444</v>
      </c>
      <c r="BN79" s="49">
        <v>18</v>
      </c>
    </row>
    <row r="80" spans="1:66" ht="15">
      <c r="A80" s="66" t="s">
        <v>602</v>
      </c>
      <c r="B80" s="66" t="s">
        <v>602</v>
      </c>
      <c r="C80" s="84" t="s">
        <v>538</v>
      </c>
      <c r="D80" s="94">
        <v>5</v>
      </c>
      <c r="E80" s="84"/>
      <c r="F80" s="96">
        <v>50</v>
      </c>
      <c r="G80" s="84"/>
      <c r="H80" s="82"/>
      <c r="I80" s="97"/>
      <c r="J80" s="97"/>
      <c r="K80" s="35" t="s">
        <v>65</v>
      </c>
      <c r="L80" s="98">
        <v>80</v>
      </c>
      <c r="M80" s="98"/>
      <c r="N80" s="99"/>
      <c r="O80" s="68" t="s">
        <v>218</v>
      </c>
      <c r="P80" s="70">
        <v>44697.191412037035</v>
      </c>
      <c r="Q80" s="68" t="s">
        <v>678</v>
      </c>
      <c r="R80" s="72" t="str">
        <f>HYPERLINK("https://environment.govt.nz/assets/publications/Aotearoa-New-Zealands-first-emissions-reduction-plan.pdf")</f>
        <v>https://environment.govt.nz/assets/publications/Aotearoa-New-Zealands-first-emissions-reduction-plan.pdf</v>
      </c>
      <c r="S80" s="68" t="s">
        <v>703</v>
      </c>
      <c r="T80" s="68"/>
      <c r="U80" s="68"/>
      <c r="V80" s="72" t="str">
        <f>HYPERLINK("https://pbs.twimg.com/profile_images/1278549685838344195/WJbDOFo8_normal.jpg")</f>
        <v>https://pbs.twimg.com/profile_images/1278549685838344195/WJbDOFo8_normal.jpg</v>
      </c>
      <c r="W80" s="70">
        <v>44697.191412037035</v>
      </c>
      <c r="X80" s="75">
        <v>44697</v>
      </c>
      <c r="Y80" s="73" t="s">
        <v>787</v>
      </c>
      <c r="Z80" s="72" t="str">
        <f>HYPERLINK("https://twitter.com/wsmith01984/status/1526058772975587328")</f>
        <v>https://twitter.com/wsmith01984/status/1526058772975587328</v>
      </c>
      <c r="AA80" s="68"/>
      <c r="AB80" s="68"/>
      <c r="AC80" s="73" t="s">
        <v>890</v>
      </c>
      <c r="AD80" s="68"/>
      <c r="AE80" s="68" t="b">
        <v>0</v>
      </c>
      <c r="AF80" s="68">
        <v>4</v>
      </c>
      <c r="AG80" s="73" t="s">
        <v>282</v>
      </c>
      <c r="AH80" s="68" t="b">
        <v>0</v>
      </c>
      <c r="AI80" s="68" t="s">
        <v>283</v>
      </c>
      <c r="AJ80" s="68"/>
      <c r="AK80" s="73" t="s">
        <v>282</v>
      </c>
      <c r="AL80" s="68" t="b">
        <v>0</v>
      </c>
      <c r="AM80" s="68">
        <v>0</v>
      </c>
      <c r="AN80" s="73" t="s">
        <v>282</v>
      </c>
      <c r="AO80" s="73" t="s">
        <v>285</v>
      </c>
      <c r="AP80" s="68" t="b">
        <v>0</v>
      </c>
      <c r="AQ80" s="73" t="s">
        <v>890</v>
      </c>
      <c r="AR80" s="68" t="s">
        <v>218</v>
      </c>
      <c r="AS80" s="68">
        <v>0</v>
      </c>
      <c r="AT80" s="68">
        <v>0</v>
      </c>
      <c r="AU80" s="68"/>
      <c r="AV80" s="68"/>
      <c r="AW80" s="68"/>
      <c r="AX80" s="68"/>
      <c r="AY80" s="68"/>
      <c r="AZ80" s="68"/>
      <c r="BA80" s="68"/>
      <c r="BB80" s="68"/>
      <c r="BC80" s="68">
        <v>1</v>
      </c>
      <c r="BD80" s="67" t="str">
        <f>REPLACE(INDEX(GroupVertices[Group],MATCH(Edges[[#This Row],[Vertex 1]],GroupVertices[Vertex],0)),1,1,"")</f>
        <v>2</v>
      </c>
      <c r="BE80" s="67" t="str">
        <f>REPLACE(INDEX(GroupVertices[Group],MATCH(Edges[[#This Row],[Vertex 2]],GroupVertices[Vertex],0)),1,1,"")</f>
        <v>2</v>
      </c>
      <c r="BF80" s="49">
        <v>1</v>
      </c>
      <c r="BG80" s="50">
        <v>3.3333333333333335</v>
      </c>
      <c r="BH80" s="49">
        <v>1</v>
      </c>
      <c r="BI80" s="50">
        <v>3.3333333333333335</v>
      </c>
      <c r="BJ80" s="49">
        <v>0</v>
      </c>
      <c r="BK80" s="50">
        <v>0</v>
      </c>
      <c r="BL80" s="49">
        <v>28</v>
      </c>
      <c r="BM80" s="50">
        <v>93.33333333333333</v>
      </c>
      <c r="BN80" s="49">
        <v>30</v>
      </c>
    </row>
    <row r="81" spans="1:66" ht="15">
      <c r="A81" s="66" t="s">
        <v>603</v>
      </c>
      <c r="B81" s="66" t="s">
        <v>642</v>
      </c>
      <c r="C81" s="84" t="s">
        <v>2013</v>
      </c>
      <c r="D81" s="94">
        <v>5</v>
      </c>
      <c r="E81" s="84"/>
      <c r="F81" s="96">
        <v>50</v>
      </c>
      <c r="G81" s="84"/>
      <c r="H81" s="82"/>
      <c r="I81" s="97"/>
      <c r="J81" s="97"/>
      <c r="K81" s="35" t="s">
        <v>65</v>
      </c>
      <c r="L81" s="98">
        <v>81</v>
      </c>
      <c r="M81" s="98"/>
      <c r="N81" s="99"/>
      <c r="O81" s="68" t="s">
        <v>263</v>
      </c>
      <c r="P81" s="70">
        <v>44696.822175925925</v>
      </c>
      <c r="Q81" s="68" t="s">
        <v>668</v>
      </c>
      <c r="R81" s="68"/>
      <c r="S81" s="68"/>
      <c r="T81" s="73" t="s">
        <v>713</v>
      </c>
      <c r="U81" s="72" t="str">
        <f>HYPERLINK("https://pbs.twimg.com/media/FS0sq1YaAAAqw4o.jpg")</f>
        <v>https://pbs.twimg.com/media/FS0sq1YaAAAqw4o.jpg</v>
      </c>
      <c r="V81" s="72" t="str">
        <f>HYPERLINK("https://pbs.twimg.com/media/FS0sq1YaAAAqw4o.jpg")</f>
        <v>https://pbs.twimg.com/media/FS0sq1YaAAAqw4o.jpg</v>
      </c>
      <c r="W81" s="70">
        <v>44696.822175925925</v>
      </c>
      <c r="X81" s="75">
        <v>44696</v>
      </c>
      <c r="Y81" s="73" t="s">
        <v>788</v>
      </c>
      <c r="Z81" s="72" t="str">
        <f>HYPERLINK("https://twitter.com/patrickmorgan/status/1525924965857787904")</f>
        <v>https://twitter.com/patrickmorgan/status/1525924965857787904</v>
      </c>
      <c r="AA81" s="68"/>
      <c r="AB81" s="68"/>
      <c r="AC81" s="73" t="s">
        <v>891</v>
      </c>
      <c r="AD81" s="68"/>
      <c r="AE81" s="68" t="b">
        <v>0</v>
      </c>
      <c r="AF81" s="68">
        <v>9</v>
      </c>
      <c r="AG81" s="73" t="s">
        <v>282</v>
      </c>
      <c r="AH81" s="68" t="b">
        <v>0</v>
      </c>
      <c r="AI81" s="68" t="s">
        <v>283</v>
      </c>
      <c r="AJ81" s="68"/>
      <c r="AK81" s="73" t="s">
        <v>282</v>
      </c>
      <c r="AL81" s="68" t="b">
        <v>0</v>
      </c>
      <c r="AM81" s="68">
        <v>3</v>
      </c>
      <c r="AN81" s="73" t="s">
        <v>282</v>
      </c>
      <c r="AO81" s="73" t="s">
        <v>947</v>
      </c>
      <c r="AP81" s="68" t="b">
        <v>0</v>
      </c>
      <c r="AQ81" s="73" t="s">
        <v>891</v>
      </c>
      <c r="AR81" s="68" t="s">
        <v>218</v>
      </c>
      <c r="AS81" s="68">
        <v>0</v>
      </c>
      <c r="AT81" s="68">
        <v>0</v>
      </c>
      <c r="AU81" s="68"/>
      <c r="AV81" s="68"/>
      <c r="AW81" s="68"/>
      <c r="AX81" s="68"/>
      <c r="AY81" s="68"/>
      <c r="AZ81" s="68"/>
      <c r="BA81" s="68"/>
      <c r="BB81" s="68"/>
      <c r="BC81" s="68">
        <v>2</v>
      </c>
      <c r="BD81" s="67" t="str">
        <f>REPLACE(INDEX(GroupVertices[Group],MATCH(Edges[[#This Row],[Vertex 1]],GroupVertices[Vertex],0)),1,1,"")</f>
        <v>4</v>
      </c>
      <c r="BE81" s="67" t="str">
        <f>REPLACE(INDEX(GroupVertices[Group],MATCH(Edges[[#This Row],[Vertex 2]],GroupVertices[Vertex],0)),1,1,"")</f>
        <v>4</v>
      </c>
      <c r="BF81" s="49">
        <v>4</v>
      </c>
      <c r="BG81" s="50">
        <v>40</v>
      </c>
      <c r="BH81" s="49">
        <v>0</v>
      </c>
      <c r="BI81" s="50">
        <v>0</v>
      </c>
      <c r="BJ81" s="49">
        <v>0</v>
      </c>
      <c r="BK81" s="50">
        <v>0</v>
      </c>
      <c r="BL81" s="49">
        <v>6</v>
      </c>
      <c r="BM81" s="50">
        <v>60</v>
      </c>
      <c r="BN81" s="49">
        <v>10</v>
      </c>
    </row>
    <row r="82" spans="1:66" ht="15">
      <c r="A82" s="66" t="s">
        <v>603</v>
      </c>
      <c r="B82" s="66" t="s">
        <v>642</v>
      </c>
      <c r="C82" s="84" t="s">
        <v>2013</v>
      </c>
      <c r="D82" s="94">
        <v>5</v>
      </c>
      <c r="E82" s="84"/>
      <c r="F82" s="96">
        <v>50</v>
      </c>
      <c r="G82" s="84"/>
      <c r="H82" s="82"/>
      <c r="I82" s="97"/>
      <c r="J82" s="97"/>
      <c r="K82" s="35" t="s">
        <v>65</v>
      </c>
      <c r="L82" s="98">
        <v>82</v>
      </c>
      <c r="M82" s="98"/>
      <c r="N82" s="99"/>
      <c r="O82" s="68" t="s">
        <v>263</v>
      </c>
      <c r="P82" s="70">
        <v>44697.19263888889</v>
      </c>
      <c r="Q82" s="68" t="s">
        <v>679</v>
      </c>
      <c r="R82" s="72" t="str">
        <f>HYPERLINK("https://twitter.com/CriticalMassAKL/status/1526028961393745921")</f>
        <v>https://twitter.com/CriticalMassAKL/status/1526028961393745921</v>
      </c>
      <c r="S82" s="68" t="s">
        <v>702</v>
      </c>
      <c r="T82" s="68"/>
      <c r="U82" s="68"/>
      <c r="V82" s="72" t="str">
        <f>HYPERLINK("https://pbs.twimg.com/profile_images/1346958814248017924/D99DDQoK_normal.jpg")</f>
        <v>https://pbs.twimg.com/profile_images/1346958814248017924/D99DDQoK_normal.jpg</v>
      </c>
      <c r="W82" s="70">
        <v>44697.19263888889</v>
      </c>
      <c r="X82" s="75">
        <v>44697</v>
      </c>
      <c r="Y82" s="73" t="s">
        <v>789</v>
      </c>
      <c r="Z82" s="72" t="str">
        <f>HYPERLINK("https://twitter.com/patrickmorgan/status/1526059217471217666")</f>
        <v>https://twitter.com/patrickmorgan/status/1526059217471217666</v>
      </c>
      <c r="AA82" s="68"/>
      <c r="AB82" s="68"/>
      <c r="AC82" s="73" t="s">
        <v>892</v>
      </c>
      <c r="AD82" s="68"/>
      <c r="AE82" s="68" t="b">
        <v>0</v>
      </c>
      <c r="AF82" s="68">
        <v>5</v>
      </c>
      <c r="AG82" s="73" t="s">
        <v>282</v>
      </c>
      <c r="AH82" s="68" t="b">
        <v>1</v>
      </c>
      <c r="AI82" s="68" t="s">
        <v>283</v>
      </c>
      <c r="AJ82" s="68"/>
      <c r="AK82" s="73" t="s">
        <v>943</v>
      </c>
      <c r="AL82" s="68" t="b">
        <v>0</v>
      </c>
      <c r="AM82" s="68">
        <v>1</v>
      </c>
      <c r="AN82" s="73" t="s">
        <v>282</v>
      </c>
      <c r="AO82" s="73" t="s">
        <v>285</v>
      </c>
      <c r="AP82" s="68" t="b">
        <v>0</v>
      </c>
      <c r="AQ82" s="73" t="s">
        <v>892</v>
      </c>
      <c r="AR82" s="68" t="s">
        <v>218</v>
      </c>
      <c r="AS82" s="68">
        <v>0</v>
      </c>
      <c r="AT82" s="68">
        <v>0</v>
      </c>
      <c r="AU82" s="68"/>
      <c r="AV82" s="68"/>
      <c r="AW82" s="68"/>
      <c r="AX82" s="68"/>
      <c r="AY82" s="68"/>
      <c r="AZ82" s="68"/>
      <c r="BA82" s="68"/>
      <c r="BB82" s="68"/>
      <c r="BC82" s="68">
        <v>2</v>
      </c>
      <c r="BD82" s="67" t="str">
        <f>REPLACE(INDEX(GroupVertices[Group],MATCH(Edges[[#This Row],[Vertex 1]],GroupVertices[Vertex],0)),1,1,"")</f>
        <v>4</v>
      </c>
      <c r="BE82" s="67" t="str">
        <f>REPLACE(INDEX(GroupVertices[Group],MATCH(Edges[[#This Row],[Vertex 2]],GroupVertices[Vertex],0)),1,1,"")</f>
        <v>4</v>
      </c>
      <c r="BF82" s="49">
        <v>1</v>
      </c>
      <c r="BG82" s="50">
        <v>6.25</v>
      </c>
      <c r="BH82" s="49">
        <v>0</v>
      </c>
      <c r="BI82" s="50">
        <v>0</v>
      </c>
      <c r="BJ82" s="49">
        <v>0</v>
      </c>
      <c r="BK82" s="50">
        <v>0</v>
      </c>
      <c r="BL82" s="49">
        <v>15</v>
      </c>
      <c r="BM82" s="50">
        <v>93.75</v>
      </c>
      <c r="BN82" s="49">
        <v>16</v>
      </c>
    </row>
    <row r="83" spans="1:66" ht="15">
      <c r="A83" s="66" t="s">
        <v>604</v>
      </c>
      <c r="B83" s="66" t="s">
        <v>642</v>
      </c>
      <c r="C83" s="84" t="s">
        <v>538</v>
      </c>
      <c r="D83" s="94">
        <v>5</v>
      </c>
      <c r="E83" s="84"/>
      <c r="F83" s="96">
        <v>50</v>
      </c>
      <c r="G83" s="84"/>
      <c r="H83" s="82"/>
      <c r="I83" s="97"/>
      <c r="J83" s="97"/>
      <c r="K83" s="35" t="s">
        <v>65</v>
      </c>
      <c r="L83" s="98">
        <v>83</v>
      </c>
      <c r="M83" s="98"/>
      <c r="N83" s="99"/>
      <c r="O83" s="68" t="s">
        <v>264</v>
      </c>
      <c r="P83" s="70">
        <v>44697.21693287037</v>
      </c>
      <c r="Q83" s="68" t="s">
        <v>679</v>
      </c>
      <c r="R83" s="72" t="str">
        <f>HYPERLINK("https://twitter.com/CriticalMassAKL/status/1526028961393745921")</f>
        <v>https://twitter.com/CriticalMassAKL/status/1526028961393745921</v>
      </c>
      <c r="S83" s="68" t="s">
        <v>702</v>
      </c>
      <c r="T83" s="68"/>
      <c r="U83" s="68"/>
      <c r="V83" s="72" t="str">
        <f>HYPERLINK("https://pbs.twimg.com/profile_images/929942240998260742/xXq1iDPw_normal.jpg")</f>
        <v>https://pbs.twimg.com/profile_images/929942240998260742/xXq1iDPw_normal.jpg</v>
      </c>
      <c r="W83" s="70">
        <v>44697.21693287037</v>
      </c>
      <c r="X83" s="75">
        <v>44697</v>
      </c>
      <c r="Y83" s="73" t="s">
        <v>790</v>
      </c>
      <c r="Z83" s="72" t="str">
        <f>HYPERLINK("https://twitter.com/timjonesbooks/status/1526068021194006528")</f>
        <v>https://twitter.com/timjonesbooks/status/1526068021194006528</v>
      </c>
      <c r="AA83" s="68"/>
      <c r="AB83" s="68"/>
      <c r="AC83" s="73" t="s">
        <v>893</v>
      </c>
      <c r="AD83" s="68"/>
      <c r="AE83" s="68" t="b">
        <v>0</v>
      </c>
      <c r="AF83" s="68">
        <v>0</v>
      </c>
      <c r="AG83" s="73" t="s">
        <v>282</v>
      </c>
      <c r="AH83" s="68" t="b">
        <v>1</v>
      </c>
      <c r="AI83" s="68" t="s">
        <v>283</v>
      </c>
      <c r="AJ83" s="68"/>
      <c r="AK83" s="73" t="s">
        <v>943</v>
      </c>
      <c r="AL83" s="68" t="b">
        <v>0</v>
      </c>
      <c r="AM83" s="68">
        <v>1</v>
      </c>
      <c r="AN83" s="73" t="s">
        <v>892</v>
      </c>
      <c r="AO83" s="73" t="s">
        <v>285</v>
      </c>
      <c r="AP83" s="68" t="b">
        <v>0</v>
      </c>
      <c r="AQ83" s="73" t="s">
        <v>892</v>
      </c>
      <c r="AR83" s="68" t="s">
        <v>218</v>
      </c>
      <c r="AS83" s="68">
        <v>0</v>
      </c>
      <c r="AT83" s="68">
        <v>0</v>
      </c>
      <c r="AU83" s="68"/>
      <c r="AV83" s="68"/>
      <c r="AW83" s="68"/>
      <c r="AX83" s="68"/>
      <c r="AY83" s="68"/>
      <c r="AZ83" s="68"/>
      <c r="BA83" s="68"/>
      <c r="BB83" s="68"/>
      <c r="BC83" s="68">
        <v>1</v>
      </c>
      <c r="BD83" s="67" t="str">
        <f>REPLACE(INDEX(GroupVertices[Group],MATCH(Edges[[#This Row],[Vertex 1]],GroupVertices[Vertex],0)),1,1,"")</f>
        <v>4</v>
      </c>
      <c r="BE83" s="67" t="str">
        <f>REPLACE(INDEX(GroupVertices[Group],MATCH(Edges[[#This Row],[Vertex 2]],GroupVertices[Vertex],0)),1,1,"")</f>
        <v>4</v>
      </c>
      <c r="BF83" s="49"/>
      <c r="BG83" s="50"/>
      <c r="BH83" s="49"/>
      <c r="BI83" s="50"/>
      <c r="BJ83" s="49"/>
      <c r="BK83" s="50"/>
      <c r="BL83" s="49"/>
      <c r="BM83" s="50"/>
      <c r="BN83" s="49"/>
    </row>
    <row r="84" spans="1:66" ht="15">
      <c r="A84" s="66" t="s">
        <v>604</v>
      </c>
      <c r="B84" s="66" t="s">
        <v>603</v>
      </c>
      <c r="C84" s="84" t="s">
        <v>538</v>
      </c>
      <c r="D84" s="94">
        <v>5</v>
      </c>
      <c r="E84" s="84"/>
      <c r="F84" s="96">
        <v>50</v>
      </c>
      <c r="G84" s="84"/>
      <c r="H84" s="82"/>
      <c r="I84" s="97"/>
      <c r="J84" s="97"/>
      <c r="K84" s="35" t="s">
        <v>65</v>
      </c>
      <c r="L84" s="98">
        <v>84</v>
      </c>
      <c r="M84" s="98"/>
      <c r="N84" s="99"/>
      <c r="O84" s="68" t="s">
        <v>262</v>
      </c>
      <c r="P84" s="70">
        <v>44697.21693287037</v>
      </c>
      <c r="Q84" s="68" t="s">
        <v>679</v>
      </c>
      <c r="R84" s="72" t="str">
        <f>HYPERLINK("https://twitter.com/CriticalMassAKL/status/1526028961393745921")</f>
        <v>https://twitter.com/CriticalMassAKL/status/1526028961393745921</v>
      </c>
      <c r="S84" s="68" t="s">
        <v>702</v>
      </c>
      <c r="T84" s="68"/>
      <c r="U84" s="68"/>
      <c r="V84" s="72" t="str">
        <f>HYPERLINK("https://pbs.twimg.com/profile_images/929942240998260742/xXq1iDPw_normal.jpg")</f>
        <v>https://pbs.twimg.com/profile_images/929942240998260742/xXq1iDPw_normal.jpg</v>
      </c>
      <c r="W84" s="70">
        <v>44697.21693287037</v>
      </c>
      <c r="X84" s="75">
        <v>44697</v>
      </c>
      <c r="Y84" s="73" t="s">
        <v>790</v>
      </c>
      <c r="Z84" s="72" t="str">
        <f>HYPERLINK("https://twitter.com/timjonesbooks/status/1526068021194006528")</f>
        <v>https://twitter.com/timjonesbooks/status/1526068021194006528</v>
      </c>
      <c r="AA84" s="68"/>
      <c r="AB84" s="68"/>
      <c r="AC84" s="73" t="s">
        <v>893</v>
      </c>
      <c r="AD84" s="68"/>
      <c r="AE84" s="68" t="b">
        <v>0</v>
      </c>
      <c r="AF84" s="68">
        <v>0</v>
      </c>
      <c r="AG84" s="73" t="s">
        <v>282</v>
      </c>
      <c r="AH84" s="68" t="b">
        <v>1</v>
      </c>
      <c r="AI84" s="68" t="s">
        <v>283</v>
      </c>
      <c r="AJ84" s="68"/>
      <c r="AK84" s="73" t="s">
        <v>943</v>
      </c>
      <c r="AL84" s="68" t="b">
        <v>0</v>
      </c>
      <c r="AM84" s="68">
        <v>1</v>
      </c>
      <c r="AN84" s="73" t="s">
        <v>892</v>
      </c>
      <c r="AO84" s="73" t="s">
        <v>285</v>
      </c>
      <c r="AP84" s="68" t="b">
        <v>0</v>
      </c>
      <c r="AQ84" s="73" t="s">
        <v>892</v>
      </c>
      <c r="AR84" s="68" t="s">
        <v>218</v>
      </c>
      <c r="AS84" s="68">
        <v>0</v>
      </c>
      <c r="AT84" s="68">
        <v>0</v>
      </c>
      <c r="AU84" s="68"/>
      <c r="AV84" s="68"/>
      <c r="AW84" s="68"/>
      <c r="AX84" s="68"/>
      <c r="AY84" s="68"/>
      <c r="AZ84" s="68"/>
      <c r="BA84" s="68"/>
      <c r="BB84" s="68"/>
      <c r="BC84" s="68">
        <v>1</v>
      </c>
      <c r="BD84" s="67" t="str">
        <f>REPLACE(INDEX(GroupVertices[Group],MATCH(Edges[[#This Row],[Vertex 1]],GroupVertices[Vertex],0)),1,1,"")</f>
        <v>4</v>
      </c>
      <c r="BE84" s="67" t="str">
        <f>REPLACE(INDEX(GroupVertices[Group],MATCH(Edges[[#This Row],[Vertex 2]],GroupVertices[Vertex],0)),1,1,"")</f>
        <v>4</v>
      </c>
      <c r="BF84" s="49">
        <v>1</v>
      </c>
      <c r="BG84" s="50">
        <v>6.25</v>
      </c>
      <c r="BH84" s="49">
        <v>0</v>
      </c>
      <c r="BI84" s="50">
        <v>0</v>
      </c>
      <c r="BJ84" s="49">
        <v>0</v>
      </c>
      <c r="BK84" s="50">
        <v>0</v>
      </c>
      <c r="BL84" s="49">
        <v>15</v>
      </c>
      <c r="BM84" s="50">
        <v>93.75</v>
      </c>
      <c r="BN84" s="49">
        <v>16</v>
      </c>
    </row>
    <row r="85" spans="1:66" ht="15">
      <c r="A85" s="66" t="s">
        <v>605</v>
      </c>
      <c r="B85" s="66" t="s">
        <v>629</v>
      </c>
      <c r="C85" s="84" t="s">
        <v>538</v>
      </c>
      <c r="D85" s="94">
        <v>5</v>
      </c>
      <c r="E85" s="84"/>
      <c r="F85" s="96">
        <v>50</v>
      </c>
      <c r="G85" s="84"/>
      <c r="H85" s="82"/>
      <c r="I85" s="97"/>
      <c r="J85" s="97"/>
      <c r="K85" s="35" t="s">
        <v>65</v>
      </c>
      <c r="L85" s="98">
        <v>85</v>
      </c>
      <c r="M85" s="98"/>
      <c r="N85" s="99"/>
      <c r="O85" s="68" t="s">
        <v>262</v>
      </c>
      <c r="P85" s="70">
        <v>44697.24203703704</v>
      </c>
      <c r="Q85" s="68" t="s">
        <v>672</v>
      </c>
      <c r="R85" s="68"/>
      <c r="S85" s="68"/>
      <c r="T85" s="68"/>
      <c r="U85" s="68"/>
      <c r="V85" s="72" t="str">
        <f>HYPERLINK("https://pbs.twimg.com/profile_images/1340031061930045440/PWCfq1lN_normal.jpg")</f>
        <v>https://pbs.twimg.com/profile_images/1340031061930045440/PWCfq1lN_normal.jpg</v>
      </c>
      <c r="W85" s="70">
        <v>44697.24203703704</v>
      </c>
      <c r="X85" s="75">
        <v>44697</v>
      </c>
      <c r="Y85" s="73" t="s">
        <v>791</v>
      </c>
      <c r="Z85" s="72" t="str">
        <f>HYPERLINK("https://twitter.com/themblogger31/status/1526077116651311104")</f>
        <v>https://twitter.com/themblogger31/status/1526077116651311104</v>
      </c>
      <c r="AA85" s="68"/>
      <c r="AB85" s="68"/>
      <c r="AC85" s="73" t="s">
        <v>894</v>
      </c>
      <c r="AD85" s="68"/>
      <c r="AE85" s="68" t="b">
        <v>0</v>
      </c>
      <c r="AF85" s="68">
        <v>0</v>
      </c>
      <c r="AG85" s="73" t="s">
        <v>282</v>
      </c>
      <c r="AH85" s="68" t="b">
        <v>0</v>
      </c>
      <c r="AI85" s="68" t="s">
        <v>283</v>
      </c>
      <c r="AJ85" s="68"/>
      <c r="AK85" s="73" t="s">
        <v>282</v>
      </c>
      <c r="AL85" s="68" t="b">
        <v>0</v>
      </c>
      <c r="AM85" s="68">
        <v>13</v>
      </c>
      <c r="AN85" s="73" t="s">
        <v>920</v>
      </c>
      <c r="AO85" s="73" t="s">
        <v>947</v>
      </c>
      <c r="AP85" s="68" t="b">
        <v>0</v>
      </c>
      <c r="AQ85" s="73" t="s">
        <v>920</v>
      </c>
      <c r="AR85" s="68" t="s">
        <v>218</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1</v>
      </c>
      <c r="BF85" s="49">
        <v>2</v>
      </c>
      <c r="BG85" s="50">
        <v>4</v>
      </c>
      <c r="BH85" s="49">
        <v>0</v>
      </c>
      <c r="BI85" s="50">
        <v>0</v>
      </c>
      <c r="BJ85" s="49">
        <v>0</v>
      </c>
      <c r="BK85" s="50">
        <v>0</v>
      </c>
      <c r="BL85" s="49">
        <v>48</v>
      </c>
      <c r="BM85" s="50">
        <v>96</v>
      </c>
      <c r="BN85" s="49">
        <v>50</v>
      </c>
    </row>
    <row r="86" spans="1:66" ht="15">
      <c r="A86" s="66" t="s">
        <v>606</v>
      </c>
      <c r="B86" s="66" t="s">
        <v>606</v>
      </c>
      <c r="C86" s="84" t="s">
        <v>538</v>
      </c>
      <c r="D86" s="94">
        <v>5</v>
      </c>
      <c r="E86" s="84"/>
      <c r="F86" s="96">
        <v>50</v>
      </c>
      <c r="G86" s="84"/>
      <c r="H86" s="82"/>
      <c r="I86" s="97"/>
      <c r="J86" s="97"/>
      <c r="K86" s="35" t="s">
        <v>65</v>
      </c>
      <c r="L86" s="98">
        <v>86</v>
      </c>
      <c r="M86" s="98"/>
      <c r="N86" s="99"/>
      <c r="O86" s="68" t="s">
        <v>218</v>
      </c>
      <c r="P86" s="70">
        <v>44697.250185185185</v>
      </c>
      <c r="Q86" s="68" t="s">
        <v>680</v>
      </c>
      <c r="R86" s="68"/>
      <c r="S86" s="68"/>
      <c r="T86" s="68"/>
      <c r="U86" s="68"/>
      <c r="V86" s="72" t="str">
        <f>HYPERLINK("https://pbs.twimg.com/profile_images/1520994280911032320/_E9mvBGQ_normal.jpg")</f>
        <v>https://pbs.twimg.com/profile_images/1520994280911032320/_E9mvBGQ_normal.jpg</v>
      </c>
      <c r="W86" s="70">
        <v>44697.250185185185</v>
      </c>
      <c r="X86" s="75">
        <v>44697</v>
      </c>
      <c r="Y86" s="73" t="s">
        <v>792</v>
      </c>
      <c r="Z86" s="72" t="str">
        <f>HYPERLINK("https://twitter.com/anth0888/status/1526080070091444224")</f>
        <v>https://twitter.com/anth0888/status/1526080070091444224</v>
      </c>
      <c r="AA86" s="68"/>
      <c r="AB86" s="68"/>
      <c r="AC86" s="73" t="s">
        <v>895</v>
      </c>
      <c r="AD86" s="73" t="s">
        <v>932</v>
      </c>
      <c r="AE86" s="68" t="b">
        <v>0</v>
      </c>
      <c r="AF86" s="68">
        <v>0</v>
      </c>
      <c r="AG86" s="73" t="s">
        <v>938</v>
      </c>
      <c r="AH86" s="68" t="b">
        <v>0</v>
      </c>
      <c r="AI86" s="68" t="s">
        <v>283</v>
      </c>
      <c r="AJ86" s="68"/>
      <c r="AK86" s="73" t="s">
        <v>282</v>
      </c>
      <c r="AL86" s="68" t="b">
        <v>0</v>
      </c>
      <c r="AM86" s="68">
        <v>0</v>
      </c>
      <c r="AN86" s="73" t="s">
        <v>282</v>
      </c>
      <c r="AO86" s="73" t="s">
        <v>285</v>
      </c>
      <c r="AP86" s="68" t="b">
        <v>0</v>
      </c>
      <c r="AQ86" s="73" t="s">
        <v>932</v>
      </c>
      <c r="AR86" s="68" t="s">
        <v>218</v>
      </c>
      <c r="AS86" s="68">
        <v>0</v>
      </c>
      <c r="AT86" s="68">
        <v>0</v>
      </c>
      <c r="AU86" s="68"/>
      <c r="AV86" s="68"/>
      <c r="AW86" s="68"/>
      <c r="AX86" s="68"/>
      <c r="AY86" s="68"/>
      <c r="AZ86" s="68"/>
      <c r="BA86" s="68"/>
      <c r="BB86" s="68"/>
      <c r="BC86" s="68">
        <v>1</v>
      </c>
      <c r="BD86" s="67" t="str">
        <f>REPLACE(INDEX(GroupVertices[Group],MATCH(Edges[[#This Row],[Vertex 1]],GroupVertices[Vertex],0)),1,1,"")</f>
        <v>2</v>
      </c>
      <c r="BE86" s="67" t="str">
        <f>REPLACE(INDEX(GroupVertices[Group],MATCH(Edges[[#This Row],[Vertex 2]],GroupVertices[Vertex],0)),1,1,"")</f>
        <v>2</v>
      </c>
      <c r="BF86" s="49">
        <v>2</v>
      </c>
      <c r="BG86" s="50">
        <v>4.878048780487805</v>
      </c>
      <c r="BH86" s="49">
        <v>0</v>
      </c>
      <c r="BI86" s="50">
        <v>0</v>
      </c>
      <c r="BJ86" s="49">
        <v>0</v>
      </c>
      <c r="BK86" s="50">
        <v>0</v>
      </c>
      <c r="BL86" s="49">
        <v>39</v>
      </c>
      <c r="BM86" s="50">
        <v>95.1219512195122</v>
      </c>
      <c r="BN86" s="49">
        <v>41</v>
      </c>
    </row>
    <row r="87" spans="1:66" ht="15">
      <c r="A87" s="66" t="s">
        <v>607</v>
      </c>
      <c r="B87" s="66" t="s">
        <v>607</v>
      </c>
      <c r="C87" s="84" t="s">
        <v>538</v>
      </c>
      <c r="D87" s="94">
        <v>5</v>
      </c>
      <c r="E87" s="84"/>
      <c r="F87" s="96">
        <v>50</v>
      </c>
      <c r="G87" s="84"/>
      <c r="H87" s="82"/>
      <c r="I87" s="97"/>
      <c r="J87" s="97"/>
      <c r="K87" s="35" t="s">
        <v>65</v>
      </c>
      <c r="L87" s="98">
        <v>87</v>
      </c>
      <c r="M87" s="98"/>
      <c r="N87" s="99"/>
      <c r="O87" s="68" t="s">
        <v>218</v>
      </c>
      <c r="P87" s="70">
        <v>44697.285520833335</v>
      </c>
      <c r="Q87" s="68" t="s">
        <v>681</v>
      </c>
      <c r="R87" s="72" t="str">
        <f>HYPERLINK("https://twitter.com/nashthomas/status/1526091823403241472")</f>
        <v>https://twitter.com/nashthomas/status/1526091823403241472</v>
      </c>
      <c r="S87" s="68" t="s">
        <v>702</v>
      </c>
      <c r="T87" s="68"/>
      <c r="U87" s="68"/>
      <c r="V87" s="72" t="str">
        <f>HYPERLINK("https://pbs.twimg.com/profile_images/1033290359105761285/T2Db8LvD_normal.jpg")</f>
        <v>https://pbs.twimg.com/profile_images/1033290359105761285/T2Db8LvD_normal.jpg</v>
      </c>
      <c r="W87" s="70">
        <v>44697.285520833335</v>
      </c>
      <c r="X87" s="75">
        <v>44697</v>
      </c>
      <c r="Y87" s="73" t="s">
        <v>793</v>
      </c>
      <c r="Z87" s="72" t="str">
        <f>HYPERLINK("https://twitter.com/jdeheij/status/1526092874445914112")</f>
        <v>https://twitter.com/jdeheij/status/1526092874445914112</v>
      </c>
      <c r="AA87" s="68"/>
      <c r="AB87" s="68"/>
      <c r="AC87" s="73" t="s">
        <v>896</v>
      </c>
      <c r="AD87" s="68"/>
      <c r="AE87" s="68" t="b">
        <v>0</v>
      </c>
      <c r="AF87" s="68">
        <v>3</v>
      </c>
      <c r="AG87" s="73" t="s">
        <v>282</v>
      </c>
      <c r="AH87" s="68" t="b">
        <v>1</v>
      </c>
      <c r="AI87" s="68" t="s">
        <v>283</v>
      </c>
      <c r="AJ87" s="68"/>
      <c r="AK87" s="73" t="s">
        <v>944</v>
      </c>
      <c r="AL87" s="68" t="b">
        <v>0</v>
      </c>
      <c r="AM87" s="68">
        <v>0</v>
      </c>
      <c r="AN87" s="73" t="s">
        <v>282</v>
      </c>
      <c r="AO87" s="73" t="s">
        <v>955</v>
      </c>
      <c r="AP87" s="68" t="b">
        <v>0</v>
      </c>
      <c r="AQ87" s="73" t="s">
        <v>896</v>
      </c>
      <c r="AR87" s="68" t="s">
        <v>218</v>
      </c>
      <c r="AS87" s="68">
        <v>0</v>
      </c>
      <c r="AT87" s="68">
        <v>0</v>
      </c>
      <c r="AU87" s="68"/>
      <c r="AV87" s="68"/>
      <c r="AW87" s="68"/>
      <c r="AX87" s="68"/>
      <c r="AY87" s="68"/>
      <c r="AZ87" s="68"/>
      <c r="BA87" s="68"/>
      <c r="BB87" s="68"/>
      <c r="BC87" s="68">
        <v>1</v>
      </c>
      <c r="BD87" s="67" t="str">
        <f>REPLACE(INDEX(GroupVertices[Group],MATCH(Edges[[#This Row],[Vertex 1]],GroupVertices[Vertex],0)),1,1,"")</f>
        <v>2</v>
      </c>
      <c r="BE87" s="67" t="str">
        <f>REPLACE(INDEX(GroupVertices[Group],MATCH(Edges[[#This Row],[Vertex 2]],GroupVertices[Vertex],0)),1,1,"")</f>
        <v>2</v>
      </c>
      <c r="BF87" s="49">
        <v>2</v>
      </c>
      <c r="BG87" s="50">
        <v>14.285714285714286</v>
      </c>
      <c r="BH87" s="49">
        <v>0</v>
      </c>
      <c r="BI87" s="50">
        <v>0</v>
      </c>
      <c r="BJ87" s="49">
        <v>0</v>
      </c>
      <c r="BK87" s="50">
        <v>0</v>
      </c>
      <c r="BL87" s="49">
        <v>12</v>
      </c>
      <c r="BM87" s="50">
        <v>85.71428571428571</v>
      </c>
      <c r="BN87" s="49">
        <v>14</v>
      </c>
    </row>
    <row r="88" spans="1:66" ht="15">
      <c r="A88" s="66" t="s">
        <v>608</v>
      </c>
      <c r="B88" s="66" t="s">
        <v>629</v>
      </c>
      <c r="C88" s="84" t="s">
        <v>538</v>
      </c>
      <c r="D88" s="94">
        <v>5</v>
      </c>
      <c r="E88" s="84"/>
      <c r="F88" s="96">
        <v>50</v>
      </c>
      <c r="G88" s="84"/>
      <c r="H88" s="82"/>
      <c r="I88" s="97"/>
      <c r="J88" s="97"/>
      <c r="K88" s="35" t="s">
        <v>65</v>
      </c>
      <c r="L88" s="98">
        <v>88</v>
      </c>
      <c r="M88" s="98"/>
      <c r="N88" s="99"/>
      <c r="O88" s="68" t="s">
        <v>262</v>
      </c>
      <c r="P88" s="70">
        <v>44697.39130787037</v>
      </c>
      <c r="Q88" s="68" t="s">
        <v>672</v>
      </c>
      <c r="R88" s="68"/>
      <c r="S88" s="68"/>
      <c r="T88" s="68"/>
      <c r="U88" s="68"/>
      <c r="V88" s="72" t="str">
        <f>HYPERLINK("https://pbs.twimg.com/profile_images/1458308612086849537/rpBqsdH9_normal.jpg")</f>
        <v>https://pbs.twimg.com/profile_images/1458308612086849537/rpBqsdH9_normal.jpg</v>
      </c>
      <c r="W88" s="70">
        <v>44697.39130787037</v>
      </c>
      <c r="X88" s="75">
        <v>44697</v>
      </c>
      <c r="Y88" s="73" t="s">
        <v>794</v>
      </c>
      <c r="Z88" s="72" t="str">
        <f>HYPERLINK("https://twitter.com/jes_af/status/1526131210405449728")</f>
        <v>https://twitter.com/jes_af/status/1526131210405449728</v>
      </c>
      <c r="AA88" s="68"/>
      <c r="AB88" s="68"/>
      <c r="AC88" s="73" t="s">
        <v>897</v>
      </c>
      <c r="AD88" s="68"/>
      <c r="AE88" s="68" t="b">
        <v>0</v>
      </c>
      <c r="AF88" s="68">
        <v>0</v>
      </c>
      <c r="AG88" s="73" t="s">
        <v>282</v>
      </c>
      <c r="AH88" s="68" t="b">
        <v>0</v>
      </c>
      <c r="AI88" s="68" t="s">
        <v>283</v>
      </c>
      <c r="AJ88" s="68"/>
      <c r="AK88" s="73" t="s">
        <v>282</v>
      </c>
      <c r="AL88" s="68" t="b">
        <v>0</v>
      </c>
      <c r="AM88" s="68">
        <v>13</v>
      </c>
      <c r="AN88" s="73" t="s">
        <v>920</v>
      </c>
      <c r="AO88" s="73" t="s">
        <v>284</v>
      </c>
      <c r="AP88" s="68" t="b">
        <v>0</v>
      </c>
      <c r="AQ88" s="73" t="s">
        <v>920</v>
      </c>
      <c r="AR88" s="68" t="s">
        <v>218</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v>2</v>
      </c>
      <c r="BG88" s="50">
        <v>4</v>
      </c>
      <c r="BH88" s="49">
        <v>0</v>
      </c>
      <c r="BI88" s="50">
        <v>0</v>
      </c>
      <c r="BJ88" s="49">
        <v>0</v>
      </c>
      <c r="BK88" s="50">
        <v>0</v>
      </c>
      <c r="BL88" s="49">
        <v>48</v>
      </c>
      <c r="BM88" s="50">
        <v>96</v>
      </c>
      <c r="BN88" s="49">
        <v>50</v>
      </c>
    </row>
    <row r="89" spans="1:66" ht="15">
      <c r="A89" s="66" t="s">
        <v>609</v>
      </c>
      <c r="B89" s="66" t="s">
        <v>644</v>
      </c>
      <c r="C89" s="84" t="s">
        <v>538</v>
      </c>
      <c r="D89" s="94">
        <v>5</v>
      </c>
      <c r="E89" s="84"/>
      <c r="F89" s="96">
        <v>50</v>
      </c>
      <c r="G89" s="84"/>
      <c r="H89" s="82"/>
      <c r="I89" s="97"/>
      <c r="J89" s="97"/>
      <c r="K89" s="35" t="s">
        <v>65</v>
      </c>
      <c r="L89" s="98">
        <v>89</v>
      </c>
      <c r="M89" s="98"/>
      <c r="N89" s="99"/>
      <c r="O89" s="68" t="s">
        <v>263</v>
      </c>
      <c r="P89" s="70">
        <v>44697.418125</v>
      </c>
      <c r="Q89" s="68" t="s">
        <v>682</v>
      </c>
      <c r="R89" s="72" t="str">
        <f>HYPERLINK("https://twitter.com/GeoHealthLab/status/1526112420481351680")</f>
        <v>https://twitter.com/GeoHealthLab/status/1526112420481351680</v>
      </c>
      <c r="S89" s="68" t="s">
        <v>702</v>
      </c>
      <c r="T89" s="68"/>
      <c r="U89" s="68"/>
      <c r="V89" s="72" t="str">
        <f>HYPERLINK("https://pbs.twimg.com/profile_images/1447317507736424448/XRomCFa1_normal.jpg")</f>
        <v>https://pbs.twimg.com/profile_images/1447317507736424448/XRomCFa1_normal.jpg</v>
      </c>
      <c r="W89" s="70">
        <v>44697.418125</v>
      </c>
      <c r="X89" s="75">
        <v>44697</v>
      </c>
      <c r="Y89" s="73" t="s">
        <v>795</v>
      </c>
      <c r="Z89" s="72" t="str">
        <f>HYPERLINK("https://twitter.com/lindseyconrow/status/1526140929274355712")</f>
        <v>https://twitter.com/lindseyconrow/status/1526140929274355712</v>
      </c>
      <c r="AA89" s="68"/>
      <c r="AB89" s="68"/>
      <c r="AC89" s="73" t="s">
        <v>898</v>
      </c>
      <c r="AD89" s="68"/>
      <c r="AE89" s="68" t="b">
        <v>0</v>
      </c>
      <c r="AF89" s="68">
        <v>9</v>
      </c>
      <c r="AG89" s="73" t="s">
        <v>282</v>
      </c>
      <c r="AH89" s="68" t="b">
        <v>1</v>
      </c>
      <c r="AI89" s="68" t="s">
        <v>283</v>
      </c>
      <c r="AJ89" s="68"/>
      <c r="AK89" s="73" t="s">
        <v>945</v>
      </c>
      <c r="AL89" s="68" t="b">
        <v>0</v>
      </c>
      <c r="AM89" s="68">
        <v>0</v>
      </c>
      <c r="AN89" s="73" t="s">
        <v>282</v>
      </c>
      <c r="AO89" s="73" t="s">
        <v>285</v>
      </c>
      <c r="AP89" s="68" t="b">
        <v>0</v>
      </c>
      <c r="AQ89" s="73" t="s">
        <v>898</v>
      </c>
      <c r="AR89" s="68" t="s">
        <v>218</v>
      </c>
      <c r="AS89" s="68">
        <v>0</v>
      </c>
      <c r="AT89" s="68">
        <v>0</v>
      </c>
      <c r="AU89" s="68"/>
      <c r="AV89" s="68"/>
      <c r="AW89" s="68"/>
      <c r="AX89" s="68"/>
      <c r="AY89" s="68"/>
      <c r="AZ89" s="68"/>
      <c r="BA89" s="68"/>
      <c r="BB89" s="68"/>
      <c r="BC89" s="68">
        <v>1</v>
      </c>
      <c r="BD89" s="67" t="str">
        <f>REPLACE(INDEX(GroupVertices[Group],MATCH(Edges[[#This Row],[Vertex 1]],GroupVertices[Vertex],0)),1,1,"")</f>
        <v>19</v>
      </c>
      <c r="BE89" s="67" t="str">
        <f>REPLACE(INDEX(GroupVertices[Group],MATCH(Edges[[#This Row],[Vertex 2]],GroupVertices[Vertex],0)),1,1,"")</f>
        <v>19</v>
      </c>
      <c r="BF89" s="49">
        <v>0</v>
      </c>
      <c r="BG89" s="50">
        <v>0</v>
      </c>
      <c r="BH89" s="49">
        <v>0</v>
      </c>
      <c r="BI89" s="50">
        <v>0</v>
      </c>
      <c r="BJ89" s="49">
        <v>0</v>
      </c>
      <c r="BK89" s="50">
        <v>0</v>
      </c>
      <c r="BL89" s="49">
        <v>23</v>
      </c>
      <c r="BM89" s="50">
        <v>100</v>
      </c>
      <c r="BN89" s="49">
        <v>23</v>
      </c>
    </row>
    <row r="90" spans="1:66" ht="15">
      <c r="A90" s="66" t="s">
        <v>610</v>
      </c>
      <c r="B90" s="66" t="s">
        <v>645</v>
      </c>
      <c r="C90" s="84" t="s">
        <v>538</v>
      </c>
      <c r="D90" s="94">
        <v>5</v>
      </c>
      <c r="E90" s="84"/>
      <c r="F90" s="96">
        <v>50</v>
      </c>
      <c r="G90" s="84"/>
      <c r="H90" s="82"/>
      <c r="I90" s="97"/>
      <c r="J90" s="97"/>
      <c r="K90" s="35" t="s">
        <v>65</v>
      </c>
      <c r="L90" s="98">
        <v>90</v>
      </c>
      <c r="M90" s="98"/>
      <c r="N90" s="99"/>
      <c r="O90" s="68" t="s">
        <v>263</v>
      </c>
      <c r="P90" s="70">
        <v>44697.74759259259</v>
      </c>
      <c r="Q90" s="68" t="s">
        <v>683</v>
      </c>
      <c r="R90" s="72" t="str">
        <f>HYPERLINK("https://www.theguardian.com/world/2022/may/16/help-to-buy-evs-in-landmark-new-zealand-net-zero-climate-plan")</f>
        <v>https://www.theguardian.com/world/2022/may/16/help-to-buy-evs-in-landmark-new-zealand-net-zero-climate-plan</v>
      </c>
      <c r="S90" s="68" t="s">
        <v>704</v>
      </c>
      <c r="T90" s="73" t="s">
        <v>716</v>
      </c>
      <c r="U90" s="68"/>
      <c r="V90" s="72" t="str">
        <f>HYPERLINK("https://abs.twimg.com/sticky/default_profile_images/default_profile_normal.png")</f>
        <v>https://abs.twimg.com/sticky/default_profile_images/default_profile_normal.png</v>
      </c>
      <c r="W90" s="70">
        <v>44697.74759259259</v>
      </c>
      <c r="X90" s="75">
        <v>44697</v>
      </c>
      <c r="Y90" s="73" t="s">
        <v>796</v>
      </c>
      <c r="Z90" s="72" t="str">
        <f>HYPERLINK("https://twitter.com/guardineer/status/1526260324986257409")</f>
        <v>https://twitter.com/guardineer/status/1526260324986257409</v>
      </c>
      <c r="AA90" s="68"/>
      <c r="AB90" s="68"/>
      <c r="AC90" s="73" t="s">
        <v>899</v>
      </c>
      <c r="AD90" s="68"/>
      <c r="AE90" s="68" t="b">
        <v>0</v>
      </c>
      <c r="AF90" s="68">
        <v>0</v>
      </c>
      <c r="AG90" s="73" t="s">
        <v>282</v>
      </c>
      <c r="AH90" s="68" t="b">
        <v>0</v>
      </c>
      <c r="AI90" s="68" t="s">
        <v>283</v>
      </c>
      <c r="AJ90" s="68"/>
      <c r="AK90" s="73" t="s">
        <v>282</v>
      </c>
      <c r="AL90" s="68" t="b">
        <v>0</v>
      </c>
      <c r="AM90" s="68">
        <v>0</v>
      </c>
      <c r="AN90" s="73" t="s">
        <v>282</v>
      </c>
      <c r="AO90" s="73" t="s">
        <v>947</v>
      </c>
      <c r="AP90" s="68" t="b">
        <v>0</v>
      </c>
      <c r="AQ90" s="73" t="s">
        <v>899</v>
      </c>
      <c r="AR90" s="68" t="s">
        <v>218</v>
      </c>
      <c r="AS90" s="68">
        <v>0</v>
      </c>
      <c r="AT90" s="68">
        <v>0</v>
      </c>
      <c r="AU90" s="68"/>
      <c r="AV90" s="68"/>
      <c r="AW90" s="68"/>
      <c r="AX90" s="68"/>
      <c r="AY90" s="68"/>
      <c r="AZ90" s="68"/>
      <c r="BA90" s="68"/>
      <c r="BB90" s="68"/>
      <c r="BC90" s="68">
        <v>1</v>
      </c>
      <c r="BD90" s="67" t="str">
        <f>REPLACE(INDEX(GroupVertices[Group],MATCH(Edges[[#This Row],[Vertex 1]],GroupVertices[Vertex],0)),1,1,"")</f>
        <v>8</v>
      </c>
      <c r="BE90" s="67" t="str">
        <f>REPLACE(INDEX(GroupVertices[Group],MATCH(Edges[[#This Row],[Vertex 2]],GroupVertices[Vertex],0)),1,1,"")</f>
        <v>8</v>
      </c>
      <c r="BF90" s="49"/>
      <c r="BG90" s="50"/>
      <c r="BH90" s="49"/>
      <c r="BI90" s="50"/>
      <c r="BJ90" s="49"/>
      <c r="BK90" s="50"/>
      <c r="BL90" s="49"/>
      <c r="BM90" s="50"/>
      <c r="BN90" s="49"/>
    </row>
    <row r="91" spans="1:66" ht="15">
      <c r="A91" s="66" t="s">
        <v>610</v>
      </c>
      <c r="B91" s="66" t="s">
        <v>646</v>
      </c>
      <c r="C91" s="84" t="s">
        <v>538</v>
      </c>
      <c r="D91" s="94">
        <v>5</v>
      </c>
      <c r="E91" s="84"/>
      <c r="F91" s="96">
        <v>50</v>
      </c>
      <c r="G91" s="84"/>
      <c r="H91" s="82"/>
      <c r="I91" s="97"/>
      <c r="J91" s="97"/>
      <c r="K91" s="35" t="s">
        <v>65</v>
      </c>
      <c r="L91" s="98">
        <v>91</v>
      </c>
      <c r="M91" s="98"/>
      <c r="N91" s="99"/>
      <c r="O91" s="68" t="s">
        <v>263</v>
      </c>
      <c r="P91" s="70">
        <v>44697.74759259259</v>
      </c>
      <c r="Q91" s="68" t="s">
        <v>683</v>
      </c>
      <c r="R91" s="72" t="str">
        <f>HYPERLINK("https://www.theguardian.com/world/2022/may/16/help-to-buy-evs-in-landmark-new-zealand-net-zero-climate-plan")</f>
        <v>https://www.theguardian.com/world/2022/may/16/help-to-buy-evs-in-landmark-new-zealand-net-zero-climate-plan</v>
      </c>
      <c r="S91" s="68" t="s">
        <v>704</v>
      </c>
      <c r="T91" s="73" t="s">
        <v>716</v>
      </c>
      <c r="U91" s="68"/>
      <c r="V91" s="72" t="str">
        <f>HYPERLINK("https://abs.twimg.com/sticky/default_profile_images/default_profile_normal.png")</f>
        <v>https://abs.twimg.com/sticky/default_profile_images/default_profile_normal.png</v>
      </c>
      <c r="W91" s="70">
        <v>44697.74759259259</v>
      </c>
      <c r="X91" s="75">
        <v>44697</v>
      </c>
      <c r="Y91" s="73" t="s">
        <v>796</v>
      </c>
      <c r="Z91" s="72" t="str">
        <f>HYPERLINK("https://twitter.com/guardineer/status/1526260324986257409")</f>
        <v>https://twitter.com/guardineer/status/1526260324986257409</v>
      </c>
      <c r="AA91" s="68"/>
      <c r="AB91" s="68"/>
      <c r="AC91" s="73" t="s">
        <v>899</v>
      </c>
      <c r="AD91" s="68"/>
      <c r="AE91" s="68" t="b">
        <v>0</v>
      </c>
      <c r="AF91" s="68">
        <v>0</v>
      </c>
      <c r="AG91" s="73" t="s">
        <v>282</v>
      </c>
      <c r="AH91" s="68" t="b">
        <v>0</v>
      </c>
      <c r="AI91" s="68" t="s">
        <v>283</v>
      </c>
      <c r="AJ91" s="68"/>
      <c r="AK91" s="73" t="s">
        <v>282</v>
      </c>
      <c r="AL91" s="68" t="b">
        <v>0</v>
      </c>
      <c r="AM91" s="68">
        <v>0</v>
      </c>
      <c r="AN91" s="73" t="s">
        <v>282</v>
      </c>
      <c r="AO91" s="73" t="s">
        <v>947</v>
      </c>
      <c r="AP91" s="68" t="b">
        <v>0</v>
      </c>
      <c r="AQ91" s="73" t="s">
        <v>899</v>
      </c>
      <c r="AR91" s="68" t="s">
        <v>218</v>
      </c>
      <c r="AS91" s="68">
        <v>0</v>
      </c>
      <c r="AT91" s="68">
        <v>0</v>
      </c>
      <c r="AU91" s="68"/>
      <c r="AV91" s="68"/>
      <c r="AW91" s="68"/>
      <c r="AX91" s="68"/>
      <c r="AY91" s="68"/>
      <c r="AZ91" s="68"/>
      <c r="BA91" s="68"/>
      <c r="BB91" s="68"/>
      <c r="BC91" s="68">
        <v>1</v>
      </c>
      <c r="BD91" s="67" t="str">
        <f>REPLACE(INDEX(GroupVertices[Group],MATCH(Edges[[#This Row],[Vertex 1]],GroupVertices[Vertex],0)),1,1,"")</f>
        <v>8</v>
      </c>
      <c r="BE91" s="67" t="str">
        <f>REPLACE(INDEX(GroupVertices[Group],MATCH(Edges[[#This Row],[Vertex 2]],GroupVertices[Vertex],0)),1,1,"")</f>
        <v>8</v>
      </c>
      <c r="BF91" s="49"/>
      <c r="BG91" s="50"/>
      <c r="BH91" s="49"/>
      <c r="BI91" s="50"/>
      <c r="BJ91" s="49"/>
      <c r="BK91" s="50"/>
      <c r="BL91" s="49"/>
      <c r="BM91" s="50"/>
      <c r="BN91" s="49"/>
    </row>
    <row r="92" spans="1:66" ht="15">
      <c r="A92" s="66" t="s">
        <v>610</v>
      </c>
      <c r="B92" s="66" t="s">
        <v>647</v>
      </c>
      <c r="C92" s="84" t="s">
        <v>538</v>
      </c>
      <c r="D92" s="94">
        <v>5</v>
      </c>
      <c r="E92" s="84"/>
      <c r="F92" s="96">
        <v>50</v>
      </c>
      <c r="G92" s="84"/>
      <c r="H92" s="82"/>
      <c r="I92" s="97"/>
      <c r="J92" s="97"/>
      <c r="K92" s="35" t="s">
        <v>65</v>
      </c>
      <c r="L92" s="98">
        <v>92</v>
      </c>
      <c r="M92" s="98"/>
      <c r="N92" s="99"/>
      <c r="O92" s="68" t="s">
        <v>263</v>
      </c>
      <c r="P92" s="70">
        <v>44697.74759259259</v>
      </c>
      <c r="Q92" s="68" t="s">
        <v>683</v>
      </c>
      <c r="R92" s="72" t="str">
        <f>HYPERLINK("https://www.theguardian.com/world/2022/may/16/help-to-buy-evs-in-landmark-new-zealand-net-zero-climate-plan")</f>
        <v>https://www.theguardian.com/world/2022/may/16/help-to-buy-evs-in-landmark-new-zealand-net-zero-climate-plan</v>
      </c>
      <c r="S92" s="68" t="s">
        <v>704</v>
      </c>
      <c r="T92" s="73" t="s">
        <v>716</v>
      </c>
      <c r="U92" s="68"/>
      <c r="V92" s="72" t="str">
        <f>HYPERLINK("https://abs.twimg.com/sticky/default_profile_images/default_profile_normal.png")</f>
        <v>https://abs.twimg.com/sticky/default_profile_images/default_profile_normal.png</v>
      </c>
      <c r="W92" s="70">
        <v>44697.74759259259</v>
      </c>
      <c r="X92" s="75">
        <v>44697</v>
      </c>
      <c r="Y92" s="73" t="s">
        <v>796</v>
      </c>
      <c r="Z92" s="72" t="str">
        <f>HYPERLINK("https://twitter.com/guardineer/status/1526260324986257409")</f>
        <v>https://twitter.com/guardineer/status/1526260324986257409</v>
      </c>
      <c r="AA92" s="68"/>
      <c r="AB92" s="68"/>
      <c r="AC92" s="73" t="s">
        <v>899</v>
      </c>
      <c r="AD92" s="68"/>
      <c r="AE92" s="68" t="b">
        <v>0</v>
      </c>
      <c r="AF92" s="68">
        <v>0</v>
      </c>
      <c r="AG92" s="73" t="s">
        <v>282</v>
      </c>
      <c r="AH92" s="68" t="b">
        <v>0</v>
      </c>
      <c r="AI92" s="68" t="s">
        <v>283</v>
      </c>
      <c r="AJ92" s="68"/>
      <c r="AK92" s="73" t="s">
        <v>282</v>
      </c>
      <c r="AL92" s="68" t="b">
        <v>0</v>
      </c>
      <c r="AM92" s="68">
        <v>0</v>
      </c>
      <c r="AN92" s="73" t="s">
        <v>282</v>
      </c>
      <c r="AO92" s="73" t="s">
        <v>947</v>
      </c>
      <c r="AP92" s="68" t="b">
        <v>0</v>
      </c>
      <c r="AQ92" s="73" t="s">
        <v>899</v>
      </c>
      <c r="AR92" s="68" t="s">
        <v>218</v>
      </c>
      <c r="AS92" s="68">
        <v>0</v>
      </c>
      <c r="AT92" s="68">
        <v>0</v>
      </c>
      <c r="AU92" s="68"/>
      <c r="AV92" s="68"/>
      <c r="AW92" s="68"/>
      <c r="AX92" s="68"/>
      <c r="AY92" s="68"/>
      <c r="AZ92" s="68"/>
      <c r="BA92" s="68"/>
      <c r="BB92" s="68"/>
      <c r="BC92" s="68">
        <v>1</v>
      </c>
      <c r="BD92" s="67" t="str">
        <f>REPLACE(INDEX(GroupVertices[Group],MATCH(Edges[[#This Row],[Vertex 1]],GroupVertices[Vertex],0)),1,1,"")</f>
        <v>8</v>
      </c>
      <c r="BE92" s="67" t="str">
        <f>REPLACE(INDEX(GroupVertices[Group],MATCH(Edges[[#This Row],[Vertex 2]],GroupVertices[Vertex],0)),1,1,"")</f>
        <v>8</v>
      </c>
      <c r="BF92" s="49">
        <v>0</v>
      </c>
      <c r="BG92" s="50">
        <v>0</v>
      </c>
      <c r="BH92" s="49">
        <v>0</v>
      </c>
      <c r="BI92" s="50">
        <v>0</v>
      </c>
      <c r="BJ92" s="49">
        <v>0</v>
      </c>
      <c r="BK92" s="50">
        <v>0</v>
      </c>
      <c r="BL92" s="49">
        <v>10</v>
      </c>
      <c r="BM92" s="50">
        <v>100</v>
      </c>
      <c r="BN92" s="49">
        <v>10</v>
      </c>
    </row>
    <row r="93" spans="1:66" ht="15">
      <c r="A93" s="66" t="s">
        <v>611</v>
      </c>
      <c r="B93" s="66" t="s">
        <v>648</v>
      </c>
      <c r="C93" s="84" t="s">
        <v>538</v>
      </c>
      <c r="D93" s="94">
        <v>5</v>
      </c>
      <c r="E93" s="84"/>
      <c r="F93" s="96">
        <v>50</v>
      </c>
      <c r="G93" s="84"/>
      <c r="H93" s="82"/>
      <c r="I93" s="97"/>
      <c r="J93" s="97"/>
      <c r="K93" s="35" t="s">
        <v>65</v>
      </c>
      <c r="L93" s="98">
        <v>93</v>
      </c>
      <c r="M93" s="98"/>
      <c r="N93" s="99"/>
      <c r="O93" s="68" t="s">
        <v>263</v>
      </c>
      <c r="P93" s="70">
        <v>44697.81400462963</v>
      </c>
      <c r="Q93" s="68" t="s">
        <v>684</v>
      </c>
      <c r="R93" s="72" t="str">
        <f>HYPERLINK("https://www.teaomaori.news/emission-reduction-plan-government-also-launches-maori-climate-strategy-funding")</f>
        <v>https://www.teaomaori.news/emission-reduction-plan-government-also-launches-maori-climate-strategy-funding</v>
      </c>
      <c r="S93" s="68" t="s">
        <v>705</v>
      </c>
      <c r="T93" s="68"/>
      <c r="U93" s="68"/>
      <c r="V93" s="72" t="str">
        <f>HYPERLINK("https://pbs.twimg.com/profile_images/1513088337296654337/cLZ6GCEk_normal.jpg")</f>
        <v>https://pbs.twimg.com/profile_images/1513088337296654337/cLZ6GCEk_normal.jpg</v>
      </c>
      <c r="W93" s="70">
        <v>44697.81400462963</v>
      </c>
      <c r="X93" s="75">
        <v>44697</v>
      </c>
      <c r="Y93" s="73" t="s">
        <v>797</v>
      </c>
      <c r="Z93" s="72" t="str">
        <f>HYPERLINK("https://twitter.com/jaackiepaul/status/1526284389373444096")</f>
        <v>https://twitter.com/jaackiepaul/status/1526284389373444096</v>
      </c>
      <c r="AA93" s="68"/>
      <c r="AB93" s="68"/>
      <c r="AC93" s="73" t="s">
        <v>900</v>
      </c>
      <c r="AD93" s="68"/>
      <c r="AE93" s="68" t="b">
        <v>0</v>
      </c>
      <c r="AF93" s="68">
        <v>0</v>
      </c>
      <c r="AG93" s="73" t="s">
        <v>282</v>
      </c>
      <c r="AH93" s="68" t="b">
        <v>0</v>
      </c>
      <c r="AI93" s="68" t="s">
        <v>283</v>
      </c>
      <c r="AJ93" s="68"/>
      <c r="AK93" s="73" t="s">
        <v>282</v>
      </c>
      <c r="AL93" s="68" t="b">
        <v>0</v>
      </c>
      <c r="AM93" s="68">
        <v>0</v>
      </c>
      <c r="AN93" s="73" t="s">
        <v>282</v>
      </c>
      <c r="AO93" s="73" t="s">
        <v>285</v>
      </c>
      <c r="AP93" s="68" t="b">
        <v>0</v>
      </c>
      <c r="AQ93" s="73" t="s">
        <v>900</v>
      </c>
      <c r="AR93" s="68" t="s">
        <v>218</v>
      </c>
      <c r="AS93" s="68">
        <v>0</v>
      </c>
      <c r="AT93" s="68">
        <v>0</v>
      </c>
      <c r="AU93" s="68"/>
      <c r="AV93" s="68"/>
      <c r="AW93" s="68"/>
      <c r="AX93" s="68"/>
      <c r="AY93" s="68"/>
      <c r="AZ93" s="68"/>
      <c r="BA93" s="68"/>
      <c r="BB93" s="68"/>
      <c r="BC93" s="68">
        <v>1</v>
      </c>
      <c r="BD93" s="67" t="str">
        <f>REPLACE(INDEX(GroupVertices[Group],MATCH(Edges[[#This Row],[Vertex 1]],GroupVertices[Vertex],0)),1,1,"")</f>
        <v>18</v>
      </c>
      <c r="BE93" s="67" t="str">
        <f>REPLACE(INDEX(GroupVertices[Group],MATCH(Edges[[#This Row],[Vertex 2]],GroupVertices[Vertex],0)),1,1,"")</f>
        <v>18</v>
      </c>
      <c r="BF93" s="49">
        <v>0</v>
      </c>
      <c r="BG93" s="50">
        <v>0</v>
      </c>
      <c r="BH93" s="49">
        <v>0</v>
      </c>
      <c r="BI93" s="50">
        <v>0</v>
      </c>
      <c r="BJ93" s="49">
        <v>0</v>
      </c>
      <c r="BK93" s="50">
        <v>0</v>
      </c>
      <c r="BL93" s="49">
        <v>12</v>
      </c>
      <c r="BM93" s="50">
        <v>100</v>
      </c>
      <c r="BN93" s="49">
        <v>12</v>
      </c>
    </row>
    <row r="94" spans="1:66" ht="15">
      <c r="A94" s="66" t="s">
        <v>612</v>
      </c>
      <c r="B94" s="66" t="s">
        <v>629</v>
      </c>
      <c r="C94" s="84" t="s">
        <v>538</v>
      </c>
      <c r="D94" s="94">
        <v>5</v>
      </c>
      <c r="E94" s="84"/>
      <c r="F94" s="96">
        <v>50</v>
      </c>
      <c r="G94" s="84"/>
      <c r="H94" s="82"/>
      <c r="I94" s="97"/>
      <c r="J94" s="97"/>
      <c r="K94" s="35" t="s">
        <v>65</v>
      </c>
      <c r="L94" s="98">
        <v>94</v>
      </c>
      <c r="M94" s="98"/>
      <c r="N94" s="99"/>
      <c r="O94" s="68" t="s">
        <v>262</v>
      </c>
      <c r="P94" s="70">
        <v>44697.85402777778</v>
      </c>
      <c r="Q94" s="68" t="s">
        <v>672</v>
      </c>
      <c r="R94" s="68"/>
      <c r="S94" s="68"/>
      <c r="T94" s="68"/>
      <c r="U94" s="68"/>
      <c r="V94" s="72" t="str">
        <f>HYPERLINK("https://pbs.twimg.com/profile_images/684161878449209344/7gIPnaU5_normal.jpg")</f>
        <v>https://pbs.twimg.com/profile_images/684161878449209344/7gIPnaU5_normal.jpg</v>
      </c>
      <c r="W94" s="70">
        <v>44697.85402777778</v>
      </c>
      <c r="X94" s="75">
        <v>44697</v>
      </c>
      <c r="Y94" s="73" t="s">
        <v>798</v>
      </c>
      <c r="Z94" s="72" t="str">
        <f>HYPERLINK("https://twitter.com/gregpresland/status/1526298895118381056")</f>
        <v>https://twitter.com/gregpresland/status/1526298895118381056</v>
      </c>
      <c r="AA94" s="68"/>
      <c r="AB94" s="68"/>
      <c r="AC94" s="73" t="s">
        <v>901</v>
      </c>
      <c r="AD94" s="68"/>
      <c r="AE94" s="68" t="b">
        <v>0</v>
      </c>
      <c r="AF94" s="68">
        <v>0</v>
      </c>
      <c r="AG94" s="73" t="s">
        <v>282</v>
      </c>
      <c r="AH94" s="68" t="b">
        <v>0</v>
      </c>
      <c r="AI94" s="68" t="s">
        <v>283</v>
      </c>
      <c r="AJ94" s="68"/>
      <c r="AK94" s="73" t="s">
        <v>282</v>
      </c>
      <c r="AL94" s="68" t="b">
        <v>0</v>
      </c>
      <c r="AM94" s="68">
        <v>13</v>
      </c>
      <c r="AN94" s="73" t="s">
        <v>920</v>
      </c>
      <c r="AO94" s="73" t="s">
        <v>285</v>
      </c>
      <c r="AP94" s="68" t="b">
        <v>0</v>
      </c>
      <c r="AQ94" s="73" t="s">
        <v>920</v>
      </c>
      <c r="AR94" s="68" t="s">
        <v>218</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1</v>
      </c>
      <c r="BF94" s="49">
        <v>2</v>
      </c>
      <c r="BG94" s="50">
        <v>4</v>
      </c>
      <c r="BH94" s="49">
        <v>0</v>
      </c>
      <c r="BI94" s="50">
        <v>0</v>
      </c>
      <c r="BJ94" s="49">
        <v>0</v>
      </c>
      <c r="BK94" s="50">
        <v>0</v>
      </c>
      <c r="BL94" s="49">
        <v>48</v>
      </c>
      <c r="BM94" s="50">
        <v>96</v>
      </c>
      <c r="BN94" s="49">
        <v>50</v>
      </c>
    </row>
    <row r="95" spans="1:66" ht="15">
      <c r="A95" s="66" t="s">
        <v>613</v>
      </c>
      <c r="B95" s="66" t="s">
        <v>613</v>
      </c>
      <c r="C95" s="84" t="s">
        <v>538</v>
      </c>
      <c r="D95" s="94">
        <v>5</v>
      </c>
      <c r="E95" s="84"/>
      <c r="F95" s="96">
        <v>50</v>
      </c>
      <c r="G95" s="84"/>
      <c r="H95" s="82"/>
      <c r="I95" s="97"/>
      <c r="J95" s="97"/>
      <c r="K95" s="35" t="s">
        <v>65</v>
      </c>
      <c r="L95" s="98">
        <v>95</v>
      </c>
      <c r="M95" s="98"/>
      <c r="N95" s="99"/>
      <c r="O95" s="68" t="s">
        <v>218</v>
      </c>
      <c r="P95" s="70">
        <v>44697.87899305556</v>
      </c>
      <c r="Q95" s="68" t="s">
        <v>685</v>
      </c>
      <c r="R95" s="72" t="str">
        <f>HYPERLINK("https://twitter.com/environmentgvnz/status/1525989421895532544")</f>
        <v>https://twitter.com/environmentgvnz/status/1525989421895532544</v>
      </c>
      <c r="S95" s="68" t="s">
        <v>702</v>
      </c>
      <c r="T95" s="73" t="s">
        <v>717</v>
      </c>
      <c r="U95" s="68"/>
      <c r="V95" s="72" t="str">
        <f>HYPERLINK("https://pbs.twimg.com/profile_images/1426700055516307457/gHOEvqg2_normal.png")</f>
        <v>https://pbs.twimg.com/profile_images/1426700055516307457/gHOEvqg2_normal.png</v>
      </c>
      <c r="W95" s="70">
        <v>44697.87899305556</v>
      </c>
      <c r="X95" s="75">
        <v>44697</v>
      </c>
      <c r="Y95" s="73" t="s">
        <v>799</v>
      </c>
      <c r="Z95" s="72" t="str">
        <f>HYPERLINK("https://twitter.com/iscouncil_/status/1526307940432433152")</f>
        <v>https://twitter.com/iscouncil_/status/1526307940432433152</v>
      </c>
      <c r="AA95" s="68"/>
      <c r="AB95" s="68"/>
      <c r="AC95" s="73" t="s">
        <v>902</v>
      </c>
      <c r="AD95" s="68"/>
      <c r="AE95" s="68" t="b">
        <v>0</v>
      </c>
      <c r="AF95" s="68">
        <v>2</v>
      </c>
      <c r="AG95" s="73" t="s">
        <v>282</v>
      </c>
      <c r="AH95" s="68" t="b">
        <v>1</v>
      </c>
      <c r="AI95" s="68" t="s">
        <v>283</v>
      </c>
      <c r="AJ95" s="68"/>
      <c r="AK95" s="73" t="s">
        <v>946</v>
      </c>
      <c r="AL95" s="68" t="b">
        <v>0</v>
      </c>
      <c r="AM95" s="68">
        <v>0</v>
      </c>
      <c r="AN95" s="73" t="s">
        <v>282</v>
      </c>
      <c r="AO95" s="73" t="s">
        <v>285</v>
      </c>
      <c r="AP95" s="68" t="b">
        <v>0</v>
      </c>
      <c r="AQ95" s="73" t="s">
        <v>902</v>
      </c>
      <c r="AR95" s="68" t="s">
        <v>218</v>
      </c>
      <c r="AS95" s="68">
        <v>0</v>
      </c>
      <c r="AT95" s="68">
        <v>0</v>
      </c>
      <c r="AU95" s="68"/>
      <c r="AV95" s="68"/>
      <c r="AW95" s="68"/>
      <c r="AX95" s="68"/>
      <c r="AY95" s="68"/>
      <c r="AZ95" s="68"/>
      <c r="BA95" s="68"/>
      <c r="BB95" s="68"/>
      <c r="BC95" s="68">
        <v>1</v>
      </c>
      <c r="BD95" s="67" t="str">
        <f>REPLACE(INDEX(GroupVertices[Group],MATCH(Edges[[#This Row],[Vertex 1]],GroupVertices[Vertex],0)),1,1,"")</f>
        <v>2</v>
      </c>
      <c r="BE95" s="67" t="str">
        <f>REPLACE(INDEX(GroupVertices[Group],MATCH(Edges[[#This Row],[Vertex 2]],GroupVertices[Vertex],0)),1,1,"")</f>
        <v>2</v>
      </c>
      <c r="BF95" s="49">
        <v>1</v>
      </c>
      <c r="BG95" s="50">
        <v>3.3333333333333335</v>
      </c>
      <c r="BH95" s="49">
        <v>0</v>
      </c>
      <c r="BI95" s="50">
        <v>0</v>
      </c>
      <c r="BJ95" s="49">
        <v>0</v>
      </c>
      <c r="BK95" s="50">
        <v>0</v>
      </c>
      <c r="BL95" s="49">
        <v>29</v>
      </c>
      <c r="BM95" s="50">
        <v>96.66666666666667</v>
      </c>
      <c r="BN95" s="49">
        <v>30</v>
      </c>
    </row>
    <row r="96" spans="1:66" ht="15">
      <c r="A96" s="66" t="s">
        <v>614</v>
      </c>
      <c r="B96" s="66" t="s">
        <v>625</v>
      </c>
      <c r="C96" s="84" t="s">
        <v>538</v>
      </c>
      <c r="D96" s="94">
        <v>5</v>
      </c>
      <c r="E96" s="84"/>
      <c r="F96" s="96">
        <v>50</v>
      </c>
      <c r="G96" s="84"/>
      <c r="H96" s="82"/>
      <c r="I96" s="97"/>
      <c r="J96" s="97"/>
      <c r="K96" s="35" t="s">
        <v>65</v>
      </c>
      <c r="L96" s="98">
        <v>96</v>
      </c>
      <c r="M96" s="98"/>
      <c r="N96" s="99"/>
      <c r="O96" s="68" t="s">
        <v>262</v>
      </c>
      <c r="P96" s="70">
        <v>44697.879155092596</v>
      </c>
      <c r="Q96" s="68" t="s">
        <v>673</v>
      </c>
      <c r="R96" s="68"/>
      <c r="S96" s="68"/>
      <c r="T96" s="68"/>
      <c r="U96" s="68"/>
      <c r="V96" s="72" t="str">
        <f>HYPERLINK("https://pbs.twimg.com/profile_images/1400656170721759236/de-5bOBZ_normal.jpg")</f>
        <v>https://pbs.twimg.com/profile_images/1400656170721759236/de-5bOBZ_normal.jpg</v>
      </c>
      <c r="W96" s="70">
        <v>44697.879155092596</v>
      </c>
      <c r="X96" s="75">
        <v>44697</v>
      </c>
      <c r="Y96" s="73" t="s">
        <v>800</v>
      </c>
      <c r="Z96" s="72" t="str">
        <f>HYPERLINK("https://twitter.com/otautaut/status/1526307999996059648")</f>
        <v>https://twitter.com/otautaut/status/1526307999996059648</v>
      </c>
      <c r="AA96" s="68"/>
      <c r="AB96" s="68"/>
      <c r="AC96" s="73" t="s">
        <v>903</v>
      </c>
      <c r="AD96" s="68"/>
      <c r="AE96" s="68" t="b">
        <v>0</v>
      </c>
      <c r="AF96" s="68">
        <v>0</v>
      </c>
      <c r="AG96" s="73" t="s">
        <v>282</v>
      </c>
      <c r="AH96" s="68" t="b">
        <v>0</v>
      </c>
      <c r="AI96" s="68" t="s">
        <v>283</v>
      </c>
      <c r="AJ96" s="68"/>
      <c r="AK96" s="73" t="s">
        <v>282</v>
      </c>
      <c r="AL96" s="68" t="b">
        <v>0</v>
      </c>
      <c r="AM96" s="68">
        <v>14</v>
      </c>
      <c r="AN96" s="73" t="s">
        <v>915</v>
      </c>
      <c r="AO96" s="73" t="s">
        <v>285</v>
      </c>
      <c r="AP96" s="68" t="b">
        <v>0</v>
      </c>
      <c r="AQ96" s="73" t="s">
        <v>915</v>
      </c>
      <c r="AR96" s="68" t="s">
        <v>218</v>
      </c>
      <c r="AS96" s="68">
        <v>0</v>
      </c>
      <c r="AT96" s="68">
        <v>0</v>
      </c>
      <c r="AU96" s="68"/>
      <c r="AV96" s="68"/>
      <c r="AW96" s="68"/>
      <c r="AX96" s="68"/>
      <c r="AY96" s="68"/>
      <c r="AZ96" s="68"/>
      <c r="BA96" s="68"/>
      <c r="BB96" s="68"/>
      <c r="BC96" s="68">
        <v>1</v>
      </c>
      <c r="BD96" s="67" t="str">
        <f>REPLACE(INDEX(GroupVertices[Group],MATCH(Edges[[#This Row],[Vertex 1]],GroupVertices[Vertex],0)),1,1,"")</f>
        <v>3</v>
      </c>
      <c r="BE96" s="67" t="str">
        <f>REPLACE(INDEX(GroupVertices[Group],MATCH(Edges[[#This Row],[Vertex 2]],GroupVertices[Vertex],0)),1,1,"")</f>
        <v>3</v>
      </c>
      <c r="BF96" s="49">
        <v>1</v>
      </c>
      <c r="BG96" s="50">
        <v>2.3255813953488373</v>
      </c>
      <c r="BH96" s="49">
        <v>0</v>
      </c>
      <c r="BI96" s="50">
        <v>0</v>
      </c>
      <c r="BJ96" s="49">
        <v>0</v>
      </c>
      <c r="BK96" s="50">
        <v>0</v>
      </c>
      <c r="BL96" s="49">
        <v>42</v>
      </c>
      <c r="BM96" s="50">
        <v>97.67441860465117</v>
      </c>
      <c r="BN96" s="49">
        <v>43</v>
      </c>
    </row>
    <row r="97" spans="1:66" ht="15">
      <c r="A97" s="66" t="s">
        <v>615</v>
      </c>
      <c r="B97" s="66" t="s">
        <v>625</v>
      </c>
      <c r="C97" s="84" t="s">
        <v>538</v>
      </c>
      <c r="D97" s="94">
        <v>5</v>
      </c>
      <c r="E97" s="84"/>
      <c r="F97" s="96">
        <v>50</v>
      </c>
      <c r="G97" s="84"/>
      <c r="H97" s="82"/>
      <c r="I97" s="97"/>
      <c r="J97" s="97"/>
      <c r="K97" s="35" t="s">
        <v>65</v>
      </c>
      <c r="L97" s="98">
        <v>97</v>
      </c>
      <c r="M97" s="98"/>
      <c r="N97" s="99"/>
      <c r="O97" s="68" t="s">
        <v>262</v>
      </c>
      <c r="P97" s="70">
        <v>44697.90168981482</v>
      </c>
      <c r="Q97" s="68" t="s">
        <v>673</v>
      </c>
      <c r="R97" s="68"/>
      <c r="S97" s="68"/>
      <c r="T97" s="68"/>
      <c r="U97" s="68"/>
      <c r="V97" s="72" t="str">
        <f>HYPERLINK("https://pbs.twimg.com/profile_images/1363300913352380416/JpZOFKpj_normal.jpg")</f>
        <v>https://pbs.twimg.com/profile_images/1363300913352380416/JpZOFKpj_normal.jpg</v>
      </c>
      <c r="W97" s="70">
        <v>44697.90168981482</v>
      </c>
      <c r="X97" s="75">
        <v>44697</v>
      </c>
      <c r="Y97" s="73" t="s">
        <v>801</v>
      </c>
      <c r="Z97" s="72" t="str">
        <f>HYPERLINK("https://twitter.com/leftiebynature/status/1526316167056732160")</f>
        <v>https://twitter.com/leftiebynature/status/1526316167056732160</v>
      </c>
      <c r="AA97" s="68"/>
      <c r="AB97" s="68"/>
      <c r="AC97" s="73" t="s">
        <v>904</v>
      </c>
      <c r="AD97" s="68"/>
      <c r="AE97" s="68" t="b">
        <v>0</v>
      </c>
      <c r="AF97" s="68">
        <v>0</v>
      </c>
      <c r="AG97" s="73" t="s">
        <v>282</v>
      </c>
      <c r="AH97" s="68" t="b">
        <v>0</v>
      </c>
      <c r="AI97" s="68" t="s">
        <v>283</v>
      </c>
      <c r="AJ97" s="68"/>
      <c r="AK97" s="73" t="s">
        <v>282</v>
      </c>
      <c r="AL97" s="68" t="b">
        <v>0</v>
      </c>
      <c r="AM97" s="68">
        <v>14</v>
      </c>
      <c r="AN97" s="73" t="s">
        <v>915</v>
      </c>
      <c r="AO97" s="73" t="s">
        <v>284</v>
      </c>
      <c r="AP97" s="68" t="b">
        <v>0</v>
      </c>
      <c r="AQ97" s="73" t="s">
        <v>915</v>
      </c>
      <c r="AR97" s="68" t="s">
        <v>218</v>
      </c>
      <c r="AS97" s="68">
        <v>0</v>
      </c>
      <c r="AT97" s="68">
        <v>0</v>
      </c>
      <c r="AU97" s="68"/>
      <c r="AV97" s="68"/>
      <c r="AW97" s="68"/>
      <c r="AX97" s="68"/>
      <c r="AY97" s="68"/>
      <c r="AZ97" s="68"/>
      <c r="BA97" s="68"/>
      <c r="BB97" s="68"/>
      <c r="BC97" s="68">
        <v>1</v>
      </c>
      <c r="BD97" s="67" t="str">
        <f>REPLACE(INDEX(GroupVertices[Group],MATCH(Edges[[#This Row],[Vertex 1]],GroupVertices[Vertex],0)),1,1,"")</f>
        <v>3</v>
      </c>
      <c r="BE97" s="67" t="str">
        <f>REPLACE(INDEX(GroupVertices[Group],MATCH(Edges[[#This Row],[Vertex 2]],GroupVertices[Vertex],0)),1,1,"")</f>
        <v>3</v>
      </c>
      <c r="BF97" s="49">
        <v>1</v>
      </c>
      <c r="BG97" s="50">
        <v>2.3255813953488373</v>
      </c>
      <c r="BH97" s="49">
        <v>0</v>
      </c>
      <c r="BI97" s="50">
        <v>0</v>
      </c>
      <c r="BJ97" s="49">
        <v>0</v>
      </c>
      <c r="BK97" s="50">
        <v>0</v>
      </c>
      <c r="BL97" s="49">
        <v>42</v>
      </c>
      <c r="BM97" s="50">
        <v>97.67441860465117</v>
      </c>
      <c r="BN97" s="49">
        <v>43</v>
      </c>
    </row>
    <row r="98" spans="1:66" ht="15">
      <c r="A98" s="66" t="s">
        <v>616</v>
      </c>
      <c r="B98" s="66" t="s">
        <v>629</v>
      </c>
      <c r="C98" s="84" t="s">
        <v>538</v>
      </c>
      <c r="D98" s="94">
        <v>5</v>
      </c>
      <c r="E98" s="84"/>
      <c r="F98" s="96">
        <v>50</v>
      </c>
      <c r="G98" s="84"/>
      <c r="H98" s="82"/>
      <c r="I98" s="97"/>
      <c r="J98" s="97"/>
      <c r="K98" s="35" t="s">
        <v>65</v>
      </c>
      <c r="L98" s="98">
        <v>98</v>
      </c>
      <c r="M98" s="98"/>
      <c r="N98" s="99"/>
      <c r="O98" s="68" t="s">
        <v>262</v>
      </c>
      <c r="P98" s="70">
        <v>44697.23475694445</v>
      </c>
      <c r="Q98" s="68" t="s">
        <v>672</v>
      </c>
      <c r="R98" s="68"/>
      <c r="S98" s="68"/>
      <c r="T98" s="68"/>
      <c r="U98" s="68"/>
      <c r="V98" s="72" t="str">
        <f>HYPERLINK("https://pbs.twimg.com/profile_images/1516568495206858754/lSuH1e_Y_normal.jpg")</f>
        <v>https://pbs.twimg.com/profile_images/1516568495206858754/lSuH1e_Y_normal.jpg</v>
      </c>
      <c r="W98" s="70">
        <v>44697.23475694445</v>
      </c>
      <c r="X98" s="75">
        <v>44697</v>
      </c>
      <c r="Y98" s="73" t="s">
        <v>802</v>
      </c>
      <c r="Z98" s="72" t="str">
        <f>HYPERLINK("https://twitter.com/3ku1111/status/1526074478706708480")</f>
        <v>https://twitter.com/3ku1111/status/1526074478706708480</v>
      </c>
      <c r="AA98" s="68"/>
      <c r="AB98" s="68"/>
      <c r="AC98" s="73" t="s">
        <v>905</v>
      </c>
      <c r="AD98" s="68"/>
      <c r="AE98" s="68" t="b">
        <v>0</v>
      </c>
      <c r="AF98" s="68">
        <v>0</v>
      </c>
      <c r="AG98" s="73" t="s">
        <v>282</v>
      </c>
      <c r="AH98" s="68" t="b">
        <v>0</v>
      </c>
      <c r="AI98" s="68" t="s">
        <v>283</v>
      </c>
      <c r="AJ98" s="68"/>
      <c r="AK98" s="73" t="s">
        <v>282</v>
      </c>
      <c r="AL98" s="68" t="b">
        <v>0</v>
      </c>
      <c r="AM98" s="68">
        <v>13</v>
      </c>
      <c r="AN98" s="73" t="s">
        <v>920</v>
      </c>
      <c r="AO98" s="73" t="s">
        <v>284</v>
      </c>
      <c r="AP98" s="68" t="b">
        <v>0</v>
      </c>
      <c r="AQ98" s="73" t="s">
        <v>920</v>
      </c>
      <c r="AR98" s="68" t="s">
        <v>218</v>
      </c>
      <c r="AS98" s="68">
        <v>0</v>
      </c>
      <c r="AT98" s="68">
        <v>0</v>
      </c>
      <c r="AU98" s="68"/>
      <c r="AV98" s="68"/>
      <c r="AW98" s="68"/>
      <c r="AX98" s="68"/>
      <c r="AY98" s="68"/>
      <c r="AZ98" s="68"/>
      <c r="BA98" s="68"/>
      <c r="BB98" s="68"/>
      <c r="BC98" s="68">
        <v>1</v>
      </c>
      <c r="BD98" s="67" t="str">
        <f>REPLACE(INDEX(GroupVertices[Group],MATCH(Edges[[#This Row],[Vertex 1]],GroupVertices[Vertex],0)),1,1,"")</f>
        <v>1</v>
      </c>
      <c r="BE98" s="67" t="str">
        <f>REPLACE(INDEX(GroupVertices[Group],MATCH(Edges[[#This Row],[Vertex 2]],GroupVertices[Vertex],0)),1,1,"")</f>
        <v>1</v>
      </c>
      <c r="BF98" s="49">
        <v>2</v>
      </c>
      <c r="BG98" s="50">
        <v>4</v>
      </c>
      <c r="BH98" s="49">
        <v>0</v>
      </c>
      <c r="BI98" s="50">
        <v>0</v>
      </c>
      <c r="BJ98" s="49">
        <v>0</v>
      </c>
      <c r="BK98" s="50">
        <v>0</v>
      </c>
      <c r="BL98" s="49">
        <v>48</v>
      </c>
      <c r="BM98" s="50">
        <v>96</v>
      </c>
      <c r="BN98" s="49">
        <v>50</v>
      </c>
    </row>
    <row r="99" spans="1:66" ht="15">
      <c r="A99" s="66" t="s">
        <v>616</v>
      </c>
      <c r="B99" s="66" t="s">
        <v>616</v>
      </c>
      <c r="C99" s="84" t="s">
        <v>538</v>
      </c>
      <c r="D99" s="94">
        <v>5</v>
      </c>
      <c r="E99" s="84"/>
      <c r="F99" s="96">
        <v>50</v>
      </c>
      <c r="G99" s="84"/>
      <c r="H99" s="82"/>
      <c r="I99" s="97"/>
      <c r="J99" s="97"/>
      <c r="K99" s="35" t="s">
        <v>65</v>
      </c>
      <c r="L99" s="98">
        <v>99</v>
      </c>
      <c r="M99" s="98"/>
      <c r="N99" s="99"/>
      <c r="O99" s="68" t="s">
        <v>218</v>
      </c>
      <c r="P99" s="70">
        <v>44698.08631944445</v>
      </c>
      <c r="Q99" s="68" t="s">
        <v>686</v>
      </c>
      <c r="R99" s="68"/>
      <c r="S99" s="68"/>
      <c r="T99" s="73" t="s">
        <v>718</v>
      </c>
      <c r="U99" s="68"/>
      <c r="V99" s="72" t="str">
        <f>HYPERLINK("https://pbs.twimg.com/profile_images/1516568495206858754/lSuH1e_Y_normal.jpg")</f>
        <v>https://pbs.twimg.com/profile_images/1516568495206858754/lSuH1e_Y_normal.jpg</v>
      </c>
      <c r="W99" s="70">
        <v>44698.08631944445</v>
      </c>
      <c r="X99" s="75">
        <v>44698</v>
      </c>
      <c r="Y99" s="73" t="s">
        <v>803</v>
      </c>
      <c r="Z99" s="72" t="str">
        <f>HYPERLINK("https://twitter.com/3ku1111/status/1526383074397024256")</f>
        <v>https://twitter.com/3ku1111/status/1526383074397024256</v>
      </c>
      <c r="AA99" s="68"/>
      <c r="AB99" s="68"/>
      <c r="AC99" s="73" t="s">
        <v>906</v>
      </c>
      <c r="AD99" s="68"/>
      <c r="AE99" s="68" t="b">
        <v>0</v>
      </c>
      <c r="AF99" s="68">
        <v>0</v>
      </c>
      <c r="AG99" s="73" t="s">
        <v>282</v>
      </c>
      <c r="AH99" s="68" t="b">
        <v>0</v>
      </c>
      <c r="AI99" s="68" t="s">
        <v>283</v>
      </c>
      <c r="AJ99" s="68"/>
      <c r="AK99" s="73" t="s">
        <v>282</v>
      </c>
      <c r="AL99" s="68" t="b">
        <v>0</v>
      </c>
      <c r="AM99" s="68">
        <v>0</v>
      </c>
      <c r="AN99" s="73" t="s">
        <v>282</v>
      </c>
      <c r="AO99" s="73" t="s">
        <v>284</v>
      </c>
      <c r="AP99" s="68" t="b">
        <v>0</v>
      </c>
      <c r="AQ99" s="73" t="s">
        <v>906</v>
      </c>
      <c r="AR99" s="68" t="s">
        <v>218</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1</v>
      </c>
      <c r="BF99" s="49">
        <v>2</v>
      </c>
      <c r="BG99" s="50">
        <v>5.405405405405405</v>
      </c>
      <c r="BH99" s="49">
        <v>0</v>
      </c>
      <c r="BI99" s="50">
        <v>0</v>
      </c>
      <c r="BJ99" s="49">
        <v>0</v>
      </c>
      <c r="BK99" s="50">
        <v>0</v>
      </c>
      <c r="BL99" s="49">
        <v>35</v>
      </c>
      <c r="BM99" s="50">
        <v>94.5945945945946</v>
      </c>
      <c r="BN99" s="49">
        <v>37</v>
      </c>
    </row>
    <row r="100" spans="1:66" ht="15">
      <c r="A100" s="66" t="s">
        <v>617</v>
      </c>
      <c r="B100" s="66" t="s">
        <v>620</v>
      </c>
      <c r="C100" s="84" t="s">
        <v>538</v>
      </c>
      <c r="D100" s="94">
        <v>5</v>
      </c>
      <c r="E100" s="84"/>
      <c r="F100" s="96">
        <v>50</v>
      </c>
      <c r="G100" s="84"/>
      <c r="H100" s="82"/>
      <c r="I100" s="97"/>
      <c r="J100" s="97"/>
      <c r="K100" s="35" t="s">
        <v>65</v>
      </c>
      <c r="L100" s="98">
        <v>100</v>
      </c>
      <c r="M100" s="98"/>
      <c r="N100" s="99"/>
      <c r="O100" s="68" t="s">
        <v>262</v>
      </c>
      <c r="P100" s="70">
        <v>44698.134050925924</v>
      </c>
      <c r="Q100" s="68" t="s">
        <v>687</v>
      </c>
      <c r="R100" s="72" t="str">
        <f>HYPERLINK("https://www.rnz.co.nz/news/political/467287/national-leader-christopher-luxon-says-no-to-corporate-welfare-for-climate-emission-reductions")</f>
        <v>https://www.rnz.co.nz/news/political/467287/national-leader-christopher-luxon-says-no-to-corporate-welfare-for-climate-emission-reductions</v>
      </c>
      <c r="S100" s="68" t="s">
        <v>269</v>
      </c>
      <c r="T100" s="68"/>
      <c r="U100" s="68"/>
      <c r="V100" s="72" t="str">
        <f>HYPERLINK("https://pbs.twimg.com/profile_images/442907058044542976/GFUPkyFi_normal.jpeg")</f>
        <v>https://pbs.twimg.com/profile_images/442907058044542976/GFUPkyFi_normal.jpeg</v>
      </c>
      <c r="W100" s="70">
        <v>44698.134050925924</v>
      </c>
      <c r="X100" s="75">
        <v>44698</v>
      </c>
      <c r="Y100" s="73" t="s">
        <v>804</v>
      </c>
      <c r="Z100" s="72" t="str">
        <f>HYPERLINK("https://twitter.com/jimrosenz/status/1526400374005207040")</f>
        <v>https://twitter.com/jimrosenz/status/1526400374005207040</v>
      </c>
      <c r="AA100" s="68"/>
      <c r="AB100" s="68"/>
      <c r="AC100" s="73" t="s">
        <v>907</v>
      </c>
      <c r="AD100" s="68"/>
      <c r="AE100" s="68" t="b">
        <v>0</v>
      </c>
      <c r="AF100" s="68">
        <v>0</v>
      </c>
      <c r="AG100" s="73" t="s">
        <v>282</v>
      </c>
      <c r="AH100" s="68" t="b">
        <v>0</v>
      </c>
      <c r="AI100" s="68" t="s">
        <v>283</v>
      </c>
      <c r="AJ100" s="68"/>
      <c r="AK100" s="73" t="s">
        <v>282</v>
      </c>
      <c r="AL100" s="68" t="b">
        <v>0</v>
      </c>
      <c r="AM100" s="68">
        <v>2</v>
      </c>
      <c r="AN100" s="73" t="s">
        <v>910</v>
      </c>
      <c r="AO100" s="73" t="s">
        <v>947</v>
      </c>
      <c r="AP100" s="68" t="b">
        <v>0</v>
      </c>
      <c r="AQ100" s="73" t="s">
        <v>910</v>
      </c>
      <c r="AR100" s="68" t="s">
        <v>218</v>
      </c>
      <c r="AS100" s="68">
        <v>0</v>
      </c>
      <c r="AT100" s="68">
        <v>0</v>
      </c>
      <c r="AU100" s="68"/>
      <c r="AV100" s="68"/>
      <c r="AW100" s="68"/>
      <c r="AX100" s="68"/>
      <c r="AY100" s="68"/>
      <c r="AZ100" s="68"/>
      <c r="BA100" s="68"/>
      <c r="BB100" s="68"/>
      <c r="BC100" s="68">
        <v>1</v>
      </c>
      <c r="BD100" s="67" t="str">
        <f>REPLACE(INDEX(GroupVertices[Group],MATCH(Edges[[#This Row],[Vertex 1]],GroupVertices[Vertex],0)),1,1,"")</f>
        <v>12</v>
      </c>
      <c r="BE100" s="67" t="str">
        <f>REPLACE(INDEX(GroupVertices[Group],MATCH(Edges[[#This Row],[Vertex 2]],GroupVertices[Vertex],0)),1,1,"")</f>
        <v>12</v>
      </c>
      <c r="BF100" s="49">
        <v>0</v>
      </c>
      <c r="BG100" s="50">
        <v>0</v>
      </c>
      <c r="BH100" s="49">
        <v>0</v>
      </c>
      <c r="BI100" s="50">
        <v>0</v>
      </c>
      <c r="BJ100" s="49">
        <v>0</v>
      </c>
      <c r="BK100" s="50">
        <v>0</v>
      </c>
      <c r="BL100" s="49">
        <v>35</v>
      </c>
      <c r="BM100" s="50">
        <v>100</v>
      </c>
      <c r="BN100" s="49">
        <v>35</v>
      </c>
    </row>
    <row r="101" spans="1:66" ht="15">
      <c r="A101" s="66" t="s">
        <v>618</v>
      </c>
      <c r="B101" s="66" t="s">
        <v>618</v>
      </c>
      <c r="C101" s="84" t="s">
        <v>538</v>
      </c>
      <c r="D101" s="94">
        <v>5</v>
      </c>
      <c r="E101" s="84"/>
      <c r="F101" s="96">
        <v>50</v>
      </c>
      <c r="G101" s="84"/>
      <c r="H101" s="82"/>
      <c r="I101" s="97"/>
      <c r="J101" s="97"/>
      <c r="K101" s="35" t="s">
        <v>65</v>
      </c>
      <c r="L101" s="98">
        <v>101</v>
      </c>
      <c r="M101" s="98"/>
      <c r="N101" s="99"/>
      <c r="O101" s="68" t="s">
        <v>218</v>
      </c>
      <c r="P101" s="70">
        <v>44697.097650462965</v>
      </c>
      <c r="Q101" s="68" t="s">
        <v>688</v>
      </c>
      <c r="R101"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101" s="68" t="s">
        <v>269</v>
      </c>
      <c r="T101" s="68"/>
      <c r="U101" s="68"/>
      <c r="V101" s="72" t="str">
        <f>HYPERLINK("https://pbs.twimg.com/profile_images/1509402652119298053/6dJa4CvD_normal.jpg")</f>
        <v>https://pbs.twimg.com/profile_images/1509402652119298053/6dJa4CvD_normal.jpg</v>
      </c>
      <c r="W101" s="70">
        <v>44697.097650462965</v>
      </c>
      <c r="X101" s="75">
        <v>44697</v>
      </c>
      <c r="Y101" s="73" t="s">
        <v>805</v>
      </c>
      <c r="Z101" s="72" t="str">
        <f>HYPERLINK("https://twitter.com/bjafari/status/1526024793392553986")</f>
        <v>https://twitter.com/bjafari/status/1526024793392553986</v>
      </c>
      <c r="AA101" s="68"/>
      <c r="AB101" s="68"/>
      <c r="AC101" s="73" t="s">
        <v>908</v>
      </c>
      <c r="AD101" s="68"/>
      <c r="AE101" s="68" t="b">
        <v>0</v>
      </c>
      <c r="AF101" s="68">
        <v>4</v>
      </c>
      <c r="AG101" s="73" t="s">
        <v>282</v>
      </c>
      <c r="AH101" s="68" t="b">
        <v>0</v>
      </c>
      <c r="AI101" s="68" t="s">
        <v>283</v>
      </c>
      <c r="AJ101" s="68"/>
      <c r="AK101" s="73" t="s">
        <v>282</v>
      </c>
      <c r="AL101" s="68" t="b">
        <v>0</v>
      </c>
      <c r="AM101" s="68">
        <v>1</v>
      </c>
      <c r="AN101" s="73" t="s">
        <v>282</v>
      </c>
      <c r="AO101" s="73" t="s">
        <v>285</v>
      </c>
      <c r="AP101" s="68" t="b">
        <v>0</v>
      </c>
      <c r="AQ101" s="73" t="s">
        <v>908</v>
      </c>
      <c r="AR101" s="68" t="s">
        <v>218</v>
      </c>
      <c r="AS101" s="68">
        <v>0</v>
      </c>
      <c r="AT101" s="68">
        <v>0</v>
      </c>
      <c r="AU101" s="68"/>
      <c r="AV101" s="68"/>
      <c r="AW101" s="68"/>
      <c r="AX101" s="68"/>
      <c r="AY101" s="68"/>
      <c r="AZ101" s="68"/>
      <c r="BA101" s="68"/>
      <c r="BB101" s="68"/>
      <c r="BC101" s="68">
        <v>1</v>
      </c>
      <c r="BD101" s="67" t="str">
        <f>REPLACE(INDEX(GroupVertices[Group],MATCH(Edges[[#This Row],[Vertex 1]],GroupVertices[Vertex],0)),1,1,"")</f>
        <v>17</v>
      </c>
      <c r="BE101" s="67" t="str">
        <f>REPLACE(INDEX(GroupVertices[Group],MATCH(Edges[[#This Row],[Vertex 2]],GroupVertices[Vertex],0)),1,1,"")</f>
        <v>17</v>
      </c>
      <c r="BF101" s="49">
        <v>2</v>
      </c>
      <c r="BG101" s="50">
        <v>6.25</v>
      </c>
      <c r="BH101" s="49">
        <v>0</v>
      </c>
      <c r="BI101" s="50">
        <v>0</v>
      </c>
      <c r="BJ101" s="49">
        <v>0</v>
      </c>
      <c r="BK101" s="50">
        <v>0</v>
      </c>
      <c r="BL101" s="49">
        <v>30</v>
      </c>
      <c r="BM101" s="50">
        <v>93.75</v>
      </c>
      <c r="BN101" s="49">
        <v>32</v>
      </c>
    </row>
    <row r="102" spans="1:66" ht="15">
      <c r="A102" s="66" t="s">
        <v>619</v>
      </c>
      <c r="B102" s="66" t="s">
        <v>618</v>
      </c>
      <c r="C102" s="84" t="s">
        <v>538</v>
      </c>
      <c r="D102" s="94">
        <v>5</v>
      </c>
      <c r="E102" s="84"/>
      <c r="F102" s="96">
        <v>50</v>
      </c>
      <c r="G102" s="84"/>
      <c r="H102" s="82"/>
      <c r="I102" s="97"/>
      <c r="J102" s="97"/>
      <c r="K102" s="35" t="s">
        <v>65</v>
      </c>
      <c r="L102" s="98">
        <v>102</v>
      </c>
      <c r="M102" s="98"/>
      <c r="N102" s="99"/>
      <c r="O102" s="68" t="s">
        <v>262</v>
      </c>
      <c r="P102" s="70">
        <v>44698.13997685185</v>
      </c>
      <c r="Q102" s="68" t="s">
        <v>688</v>
      </c>
      <c r="R102"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102" s="68" t="s">
        <v>269</v>
      </c>
      <c r="T102" s="68"/>
      <c r="U102" s="68"/>
      <c r="V102" s="72" t="str">
        <f>HYPERLINK("https://pbs.twimg.com/profile_images/1404947351886721032/DL8rdwb4_normal.jpg")</f>
        <v>https://pbs.twimg.com/profile_images/1404947351886721032/DL8rdwb4_normal.jpg</v>
      </c>
      <c r="W102" s="70">
        <v>44698.13997685185</v>
      </c>
      <c r="X102" s="75">
        <v>44698</v>
      </c>
      <c r="Y102" s="73" t="s">
        <v>806</v>
      </c>
      <c r="Z102" s="72" t="str">
        <f>HYPERLINK("https://twitter.com/geoffrey_payne/status/1526402521530372096")</f>
        <v>https://twitter.com/geoffrey_payne/status/1526402521530372096</v>
      </c>
      <c r="AA102" s="68"/>
      <c r="AB102" s="68"/>
      <c r="AC102" s="73" t="s">
        <v>909</v>
      </c>
      <c r="AD102" s="68"/>
      <c r="AE102" s="68" t="b">
        <v>0</v>
      </c>
      <c r="AF102" s="68">
        <v>0</v>
      </c>
      <c r="AG102" s="73" t="s">
        <v>282</v>
      </c>
      <c r="AH102" s="68" t="b">
        <v>0</v>
      </c>
      <c r="AI102" s="68" t="s">
        <v>283</v>
      </c>
      <c r="AJ102" s="68"/>
      <c r="AK102" s="73" t="s">
        <v>282</v>
      </c>
      <c r="AL102" s="68" t="b">
        <v>0</v>
      </c>
      <c r="AM102" s="68">
        <v>1</v>
      </c>
      <c r="AN102" s="73" t="s">
        <v>908</v>
      </c>
      <c r="AO102" s="73" t="s">
        <v>285</v>
      </c>
      <c r="AP102" s="68" t="b">
        <v>0</v>
      </c>
      <c r="AQ102" s="73" t="s">
        <v>908</v>
      </c>
      <c r="AR102" s="68" t="s">
        <v>218</v>
      </c>
      <c r="AS102" s="68">
        <v>0</v>
      </c>
      <c r="AT102" s="68">
        <v>0</v>
      </c>
      <c r="AU102" s="68"/>
      <c r="AV102" s="68"/>
      <c r="AW102" s="68"/>
      <c r="AX102" s="68"/>
      <c r="AY102" s="68"/>
      <c r="AZ102" s="68"/>
      <c r="BA102" s="68"/>
      <c r="BB102" s="68"/>
      <c r="BC102" s="68">
        <v>1</v>
      </c>
      <c r="BD102" s="67" t="str">
        <f>REPLACE(INDEX(GroupVertices[Group],MATCH(Edges[[#This Row],[Vertex 1]],GroupVertices[Vertex],0)),1,1,"")</f>
        <v>17</v>
      </c>
      <c r="BE102" s="67" t="str">
        <f>REPLACE(INDEX(GroupVertices[Group],MATCH(Edges[[#This Row],[Vertex 2]],GroupVertices[Vertex],0)),1,1,"")</f>
        <v>17</v>
      </c>
      <c r="BF102" s="49">
        <v>2</v>
      </c>
      <c r="BG102" s="50">
        <v>6.25</v>
      </c>
      <c r="BH102" s="49">
        <v>0</v>
      </c>
      <c r="BI102" s="50">
        <v>0</v>
      </c>
      <c r="BJ102" s="49">
        <v>0</v>
      </c>
      <c r="BK102" s="50">
        <v>0</v>
      </c>
      <c r="BL102" s="49">
        <v>30</v>
      </c>
      <c r="BM102" s="50">
        <v>93.75</v>
      </c>
      <c r="BN102" s="49">
        <v>32</v>
      </c>
    </row>
    <row r="103" spans="1:66" ht="15">
      <c r="A103" s="66" t="s">
        <v>620</v>
      </c>
      <c r="B103" s="66" t="s">
        <v>620</v>
      </c>
      <c r="C103" s="84" t="s">
        <v>538</v>
      </c>
      <c r="D103" s="94">
        <v>5</v>
      </c>
      <c r="E103" s="84"/>
      <c r="F103" s="96">
        <v>50</v>
      </c>
      <c r="G103" s="84"/>
      <c r="H103" s="82"/>
      <c r="I103" s="97"/>
      <c r="J103" s="97"/>
      <c r="K103" s="35" t="s">
        <v>65</v>
      </c>
      <c r="L103" s="98">
        <v>103</v>
      </c>
      <c r="M103" s="98"/>
      <c r="N103" s="99"/>
      <c r="O103" s="68" t="s">
        <v>218</v>
      </c>
      <c r="P103" s="70">
        <v>44698.12831018519</v>
      </c>
      <c r="Q103" s="68" t="s">
        <v>687</v>
      </c>
      <c r="R103" s="72" t="str">
        <f>HYPERLINK("https://www.rnz.co.nz/news/political/467287/national-leader-christopher-luxon-says-no-to-corporate-welfare-for-climate-emission-reductions")</f>
        <v>https://www.rnz.co.nz/news/political/467287/national-leader-christopher-luxon-says-no-to-corporate-welfare-for-climate-emission-reductions</v>
      </c>
      <c r="S103" s="68" t="s">
        <v>269</v>
      </c>
      <c r="T103" s="68"/>
      <c r="U103" s="68"/>
      <c r="V103" s="72" t="str">
        <f>HYPERLINK("https://pbs.twimg.com/profile_images/1298490434147164160/f3vP1LJU_normal.jpg")</f>
        <v>https://pbs.twimg.com/profile_images/1298490434147164160/f3vP1LJU_normal.jpg</v>
      </c>
      <c r="W103" s="70">
        <v>44698.12831018519</v>
      </c>
      <c r="X103" s="75">
        <v>44698</v>
      </c>
      <c r="Y103" s="73" t="s">
        <v>807</v>
      </c>
      <c r="Z103" s="72" t="str">
        <f>HYPERLINK("https://twitter.com/radionz/status/1526398291532910597")</f>
        <v>https://twitter.com/radionz/status/1526398291532910597</v>
      </c>
      <c r="AA103" s="68"/>
      <c r="AB103" s="68"/>
      <c r="AC103" s="73" t="s">
        <v>910</v>
      </c>
      <c r="AD103" s="68"/>
      <c r="AE103" s="68" t="b">
        <v>0</v>
      </c>
      <c r="AF103" s="68">
        <v>7</v>
      </c>
      <c r="AG103" s="73" t="s">
        <v>282</v>
      </c>
      <c r="AH103" s="68" t="b">
        <v>0</v>
      </c>
      <c r="AI103" s="68" t="s">
        <v>283</v>
      </c>
      <c r="AJ103" s="68"/>
      <c r="AK103" s="73" t="s">
        <v>282</v>
      </c>
      <c r="AL103" s="68" t="b">
        <v>0</v>
      </c>
      <c r="AM103" s="68">
        <v>2</v>
      </c>
      <c r="AN103" s="73" t="s">
        <v>282</v>
      </c>
      <c r="AO103" s="73" t="s">
        <v>285</v>
      </c>
      <c r="AP103" s="68" t="b">
        <v>0</v>
      </c>
      <c r="AQ103" s="73" t="s">
        <v>910</v>
      </c>
      <c r="AR103" s="68" t="s">
        <v>218</v>
      </c>
      <c r="AS103" s="68">
        <v>0</v>
      </c>
      <c r="AT103" s="68">
        <v>0</v>
      </c>
      <c r="AU103" s="68"/>
      <c r="AV103" s="68"/>
      <c r="AW103" s="68"/>
      <c r="AX103" s="68"/>
      <c r="AY103" s="68"/>
      <c r="AZ103" s="68"/>
      <c r="BA103" s="68"/>
      <c r="BB103" s="68"/>
      <c r="BC103" s="68">
        <v>1</v>
      </c>
      <c r="BD103" s="67" t="str">
        <f>REPLACE(INDEX(GroupVertices[Group],MATCH(Edges[[#This Row],[Vertex 1]],GroupVertices[Vertex],0)),1,1,"")</f>
        <v>12</v>
      </c>
      <c r="BE103" s="67" t="str">
        <f>REPLACE(INDEX(GroupVertices[Group],MATCH(Edges[[#This Row],[Vertex 2]],GroupVertices[Vertex],0)),1,1,"")</f>
        <v>12</v>
      </c>
      <c r="BF103" s="49">
        <v>0</v>
      </c>
      <c r="BG103" s="50">
        <v>0</v>
      </c>
      <c r="BH103" s="49">
        <v>0</v>
      </c>
      <c r="BI103" s="50">
        <v>0</v>
      </c>
      <c r="BJ103" s="49">
        <v>0</v>
      </c>
      <c r="BK103" s="50">
        <v>0</v>
      </c>
      <c r="BL103" s="49">
        <v>35</v>
      </c>
      <c r="BM103" s="50">
        <v>100</v>
      </c>
      <c r="BN103" s="49">
        <v>35</v>
      </c>
    </row>
    <row r="104" spans="1:66" ht="15">
      <c r="A104" s="66" t="s">
        <v>621</v>
      </c>
      <c r="B104" s="66" t="s">
        <v>620</v>
      </c>
      <c r="C104" s="84" t="s">
        <v>538</v>
      </c>
      <c r="D104" s="94">
        <v>5</v>
      </c>
      <c r="E104" s="84"/>
      <c r="F104" s="96">
        <v>50</v>
      </c>
      <c r="G104" s="84"/>
      <c r="H104" s="82"/>
      <c r="I104" s="97"/>
      <c r="J104" s="97"/>
      <c r="K104" s="35" t="s">
        <v>65</v>
      </c>
      <c r="L104" s="98">
        <v>104</v>
      </c>
      <c r="M104" s="98"/>
      <c r="N104" s="99"/>
      <c r="O104" s="68" t="s">
        <v>262</v>
      </c>
      <c r="P104" s="70">
        <v>44698.14424768519</v>
      </c>
      <c r="Q104" s="68" t="s">
        <v>687</v>
      </c>
      <c r="R104" s="72" t="str">
        <f>HYPERLINK("https://www.rnz.co.nz/news/political/467287/national-leader-christopher-luxon-says-no-to-corporate-welfare-for-climate-emission-reductions")</f>
        <v>https://www.rnz.co.nz/news/political/467287/national-leader-christopher-luxon-says-no-to-corporate-welfare-for-climate-emission-reductions</v>
      </c>
      <c r="S104" s="68" t="s">
        <v>269</v>
      </c>
      <c r="T104" s="68"/>
      <c r="U104" s="68"/>
      <c r="V104" s="72" t="str">
        <f>HYPERLINK("https://pbs.twimg.com/profile_images/1511890587586560000/xGb_Dq_D_normal.jpg")</f>
        <v>https://pbs.twimg.com/profile_images/1511890587586560000/xGb_Dq_D_normal.jpg</v>
      </c>
      <c r="W104" s="70">
        <v>44698.14424768519</v>
      </c>
      <c r="X104" s="75">
        <v>44698</v>
      </c>
      <c r="Y104" s="73" t="s">
        <v>808</v>
      </c>
      <c r="Z104" s="72" t="str">
        <f>HYPERLINK("https://twitter.com/lordfusitua/status/1526404068608200704")</f>
        <v>https://twitter.com/lordfusitua/status/1526404068608200704</v>
      </c>
      <c r="AA104" s="68"/>
      <c r="AB104" s="68"/>
      <c r="AC104" s="73" t="s">
        <v>911</v>
      </c>
      <c r="AD104" s="68"/>
      <c r="AE104" s="68" t="b">
        <v>0</v>
      </c>
      <c r="AF104" s="68">
        <v>0</v>
      </c>
      <c r="AG104" s="73" t="s">
        <v>282</v>
      </c>
      <c r="AH104" s="68" t="b">
        <v>0</v>
      </c>
      <c r="AI104" s="68" t="s">
        <v>283</v>
      </c>
      <c r="AJ104" s="68"/>
      <c r="AK104" s="73" t="s">
        <v>282</v>
      </c>
      <c r="AL104" s="68" t="b">
        <v>0</v>
      </c>
      <c r="AM104" s="68">
        <v>2</v>
      </c>
      <c r="AN104" s="73" t="s">
        <v>910</v>
      </c>
      <c r="AO104" s="73" t="s">
        <v>284</v>
      </c>
      <c r="AP104" s="68" t="b">
        <v>0</v>
      </c>
      <c r="AQ104" s="73" t="s">
        <v>910</v>
      </c>
      <c r="AR104" s="68" t="s">
        <v>218</v>
      </c>
      <c r="AS104" s="68">
        <v>0</v>
      </c>
      <c r="AT104" s="68">
        <v>0</v>
      </c>
      <c r="AU104" s="68"/>
      <c r="AV104" s="68"/>
      <c r="AW104" s="68"/>
      <c r="AX104" s="68"/>
      <c r="AY104" s="68"/>
      <c r="AZ104" s="68"/>
      <c r="BA104" s="68"/>
      <c r="BB104" s="68"/>
      <c r="BC104" s="68">
        <v>1</v>
      </c>
      <c r="BD104" s="67" t="str">
        <f>REPLACE(INDEX(GroupVertices[Group],MATCH(Edges[[#This Row],[Vertex 1]],GroupVertices[Vertex],0)),1,1,"")</f>
        <v>12</v>
      </c>
      <c r="BE104" s="67" t="str">
        <f>REPLACE(INDEX(GroupVertices[Group],MATCH(Edges[[#This Row],[Vertex 2]],GroupVertices[Vertex],0)),1,1,"")</f>
        <v>12</v>
      </c>
      <c r="BF104" s="49">
        <v>0</v>
      </c>
      <c r="BG104" s="50">
        <v>0</v>
      </c>
      <c r="BH104" s="49">
        <v>0</v>
      </c>
      <c r="BI104" s="50">
        <v>0</v>
      </c>
      <c r="BJ104" s="49">
        <v>0</v>
      </c>
      <c r="BK104" s="50">
        <v>0</v>
      </c>
      <c r="BL104" s="49">
        <v>35</v>
      </c>
      <c r="BM104" s="50">
        <v>100</v>
      </c>
      <c r="BN104" s="49">
        <v>35</v>
      </c>
    </row>
    <row r="105" spans="1:66" ht="15">
      <c r="A105" s="66" t="s">
        <v>622</v>
      </c>
      <c r="B105" s="66" t="s">
        <v>629</v>
      </c>
      <c r="C105" s="84" t="s">
        <v>538</v>
      </c>
      <c r="D105" s="94">
        <v>5</v>
      </c>
      <c r="E105" s="84"/>
      <c r="F105" s="96">
        <v>50</v>
      </c>
      <c r="G105" s="84"/>
      <c r="H105" s="82"/>
      <c r="I105" s="97"/>
      <c r="J105" s="97"/>
      <c r="K105" s="35" t="s">
        <v>65</v>
      </c>
      <c r="L105" s="98">
        <v>105</v>
      </c>
      <c r="M105" s="98"/>
      <c r="N105" s="99"/>
      <c r="O105" s="68" t="s">
        <v>262</v>
      </c>
      <c r="P105" s="70">
        <v>44698.147465277776</v>
      </c>
      <c r="Q105" s="68" t="s">
        <v>671</v>
      </c>
      <c r="R105" s="68"/>
      <c r="S105" s="68"/>
      <c r="T105" s="68"/>
      <c r="U105" s="68"/>
      <c r="V105" s="72" t="str">
        <f>HYPERLINK("https://pbs.twimg.com/profile_images/1116976358184214529/9Xp3aqge_normal.jpg")</f>
        <v>https://pbs.twimg.com/profile_images/1116976358184214529/9Xp3aqge_normal.jpg</v>
      </c>
      <c r="W105" s="70">
        <v>44698.147465277776</v>
      </c>
      <c r="X105" s="75">
        <v>44698</v>
      </c>
      <c r="Y105" s="73" t="s">
        <v>809</v>
      </c>
      <c r="Z105" s="72" t="str">
        <f>HYPERLINK("https://twitter.com/emuga12/status/1526405231504142336")</f>
        <v>https://twitter.com/emuga12/status/1526405231504142336</v>
      </c>
      <c r="AA105" s="68"/>
      <c r="AB105" s="68"/>
      <c r="AC105" s="73" t="s">
        <v>912</v>
      </c>
      <c r="AD105" s="68"/>
      <c r="AE105" s="68" t="b">
        <v>0</v>
      </c>
      <c r="AF105" s="68">
        <v>0</v>
      </c>
      <c r="AG105" s="73" t="s">
        <v>282</v>
      </c>
      <c r="AH105" s="68" t="b">
        <v>0</v>
      </c>
      <c r="AI105" s="68" t="s">
        <v>283</v>
      </c>
      <c r="AJ105" s="68"/>
      <c r="AK105" s="73" t="s">
        <v>282</v>
      </c>
      <c r="AL105" s="68" t="b">
        <v>0</v>
      </c>
      <c r="AM105" s="68">
        <v>11</v>
      </c>
      <c r="AN105" s="73" t="s">
        <v>919</v>
      </c>
      <c r="AO105" s="73" t="s">
        <v>284</v>
      </c>
      <c r="AP105" s="68" t="b">
        <v>0</v>
      </c>
      <c r="AQ105" s="73" t="s">
        <v>919</v>
      </c>
      <c r="AR105" s="68" t="s">
        <v>218</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1</v>
      </c>
      <c r="BF105" s="49">
        <v>1</v>
      </c>
      <c r="BG105" s="50">
        <v>2.272727272727273</v>
      </c>
      <c r="BH105" s="49">
        <v>0</v>
      </c>
      <c r="BI105" s="50">
        <v>0</v>
      </c>
      <c r="BJ105" s="49">
        <v>0</v>
      </c>
      <c r="BK105" s="50">
        <v>0</v>
      </c>
      <c r="BL105" s="49">
        <v>43</v>
      </c>
      <c r="BM105" s="50">
        <v>97.72727272727273</v>
      </c>
      <c r="BN105" s="49">
        <v>44</v>
      </c>
    </row>
    <row r="106" spans="1:66" ht="15">
      <c r="A106" s="66" t="s">
        <v>623</v>
      </c>
      <c r="B106" s="66" t="s">
        <v>649</v>
      </c>
      <c r="C106" s="84" t="s">
        <v>538</v>
      </c>
      <c r="D106" s="94">
        <v>5</v>
      </c>
      <c r="E106" s="84"/>
      <c r="F106" s="96">
        <v>50</v>
      </c>
      <c r="G106" s="84"/>
      <c r="H106" s="82"/>
      <c r="I106" s="97"/>
      <c r="J106" s="97"/>
      <c r="K106" s="35" t="s">
        <v>65</v>
      </c>
      <c r="L106" s="98">
        <v>106</v>
      </c>
      <c r="M106" s="98"/>
      <c r="N106" s="99"/>
      <c r="O106" s="68" t="s">
        <v>263</v>
      </c>
      <c r="P106" s="70">
        <v>44698.005428240744</v>
      </c>
      <c r="Q106" s="68" t="s">
        <v>689</v>
      </c>
      <c r="R106" s="72" t="str">
        <f>HYPERLINK("https://thespinoff.co.nz/politics/17-05-2022/the-erp-is-a-step-in-the-right-direction-but-wheres-the-ambition")</f>
        <v>https://thespinoff.co.nz/politics/17-05-2022/the-erp-is-a-step-in-the-right-direction-but-wheres-the-ambition</v>
      </c>
      <c r="S106" s="68" t="s">
        <v>269</v>
      </c>
      <c r="T106" s="68"/>
      <c r="U106" s="68"/>
      <c r="V106" s="72" t="str">
        <f>HYPERLINK("https://pbs.twimg.com/profile_images/1364502007055142912/VYk1wxxp_normal.jpg")</f>
        <v>https://pbs.twimg.com/profile_images/1364502007055142912/VYk1wxxp_normal.jpg</v>
      </c>
      <c r="W106" s="70">
        <v>44698.005428240744</v>
      </c>
      <c r="X106" s="75">
        <v>44698</v>
      </c>
      <c r="Y106" s="73" t="s">
        <v>810</v>
      </c>
      <c r="Z106" s="72" t="str">
        <f>HYPERLINK("https://twitter.com/garethhughesnz/status/1526353762180550656")</f>
        <v>https://twitter.com/garethhughesnz/status/1526353762180550656</v>
      </c>
      <c r="AA106" s="68"/>
      <c r="AB106" s="68"/>
      <c r="AC106" s="73" t="s">
        <v>913</v>
      </c>
      <c r="AD106" s="68"/>
      <c r="AE106" s="68" t="b">
        <v>0</v>
      </c>
      <c r="AF106" s="68">
        <v>8</v>
      </c>
      <c r="AG106" s="73" t="s">
        <v>282</v>
      </c>
      <c r="AH106" s="68" t="b">
        <v>0</v>
      </c>
      <c r="AI106" s="68" t="s">
        <v>283</v>
      </c>
      <c r="AJ106" s="68"/>
      <c r="AK106" s="73" t="s">
        <v>282</v>
      </c>
      <c r="AL106" s="68" t="b">
        <v>0</v>
      </c>
      <c r="AM106" s="68">
        <v>1</v>
      </c>
      <c r="AN106" s="73" t="s">
        <v>282</v>
      </c>
      <c r="AO106" s="73" t="s">
        <v>284</v>
      </c>
      <c r="AP106" s="68" t="b">
        <v>0</v>
      </c>
      <c r="AQ106" s="73" t="s">
        <v>913</v>
      </c>
      <c r="AR106" s="68" t="s">
        <v>218</v>
      </c>
      <c r="AS106" s="68">
        <v>0</v>
      </c>
      <c r="AT106" s="68">
        <v>0</v>
      </c>
      <c r="AU106" s="68"/>
      <c r="AV106" s="68"/>
      <c r="AW106" s="68"/>
      <c r="AX106" s="68"/>
      <c r="AY106" s="68"/>
      <c r="AZ106" s="68"/>
      <c r="BA106" s="68"/>
      <c r="BB106" s="68"/>
      <c r="BC106" s="68">
        <v>1</v>
      </c>
      <c r="BD106" s="67" t="str">
        <f>REPLACE(INDEX(GroupVertices[Group],MATCH(Edges[[#This Row],[Vertex 1]],GroupVertices[Vertex],0)),1,1,"")</f>
        <v>11</v>
      </c>
      <c r="BE106" s="67" t="str">
        <f>REPLACE(INDEX(GroupVertices[Group],MATCH(Edges[[#This Row],[Vertex 2]],GroupVertices[Vertex],0)),1,1,"")</f>
        <v>11</v>
      </c>
      <c r="BF106" s="49">
        <v>0</v>
      </c>
      <c r="BG106" s="50">
        <v>0</v>
      </c>
      <c r="BH106" s="49">
        <v>0</v>
      </c>
      <c r="BI106" s="50">
        <v>0</v>
      </c>
      <c r="BJ106" s="49">
        <v>0</v>
      </c>
      <c r="BK106" s="50">
        <v>0</v>
      </c>
      <c r="BL106" s="49">
        <v>26</v>
      </c>
      <c r="BM106" s="50">
        <v>100</v>
      </c>
      <c r="BN106" s="49">
        <v>26</v>
      </c>
    </row>
    <row r="107" spans="1:66" ht="15">
      <c r="A107" s="66" t="s">
        <v>624</v>
      </c>
      <c r="B107" s="66" t="s">
        <v>649</v>
      </c>
      <c r="C107" s="84" t="s">
        <v>538</v>
      </c>
      <c r="D107" s="94">
        <v>5</v>
      </c>
      <c r="E107" s="84"/>
      <c r="F107" s="96">
        <v>50</v>
      </c>
      <c r="G107" s="84"/>
      <c r="H107" s="82"/>
      <c r="I107" s="97"/>
      <c r="J107" s="97"/>
      <c r="K107" s="35" t="s">
        <v>65</v>
      </c>
      <c r="L107" s="98">
        <v>107</v>
      </c>
      <c r="M107" s="98"/>
      <c r="N107" s="99"/>
      <c r="O107" s="68" t="s">
        <v>264</v>
      </c>
      <c r="P107" s="70">
        <v>44698.31383101852</v>
      </c>
      <c r="Q107" s="68" t="s">
        <v>689</v>
      </c>
      <c r="R107" s="72" t="str">
        <f>HYPERLINK("https://thespinoff.co.nz/politics/17-05-2022/the-erp-is-a-step-in-the-right-direction-but-wheres-the-ambition")</f>
        <v>https://thespinoff.co.nz/politics/17-05-2022/the-erp-is-a-step-in-the-right-direction-but-wheres-the-ambition</v>
      </c>
      <c r="S107" s="68" t="s">
        <v>269</v>
      </c>
      <c r="T107" s="68"/>
      <c r="U107" s="68"/>
      <c r="V107" s="72" t="str">
        <f>HYPERLINK("https://pbs.twimg.com/profile_images/1526754636014579713/oQvAjr0Y_normal.jpg")</f>
        <v>https://pbs.twimg.com/profile_images/1526754636014579713/oQvAjr0Y_normal.jpg</v>
      </c>
      <c r="W107" s="70">
        <v>44698.31383101852</v>
      </c>
      <c r="X107" s="75">
        <v>44698</v>
      </c>
      <c r="Y107" s="73" t="s">
        <v>811</v>
      </c>
      <c r="Z107" s="72" t="str">
        <f>HYPERLINK("https://twitter.com/weall_aotearoa/status/1526465521134485510")</f>
        <v>https://twitter.com/weall_aotearoa/status/1526465521134485510</v>
      </c>
      <c r="AA107" s="68"/>
      <c r="AB107" s="68"/>
      <c r="AC107" s="73" t="s">
        <v>914</v>
      </c>
      <c r="AD107" s="68"/>
      <c r="AE107" s="68" t="b">
        <v>0</v>
      </c>
      <c r="AF107" s="68">
        <v>0</v>
      </c>
      <c r="AG107" s="73" t="s">
        <v>282</v>
      </c>
      <c r="AH107" s="68" t="b">
        <v>0</v>
      </c>
      <c r="AI107" s="68" t="s">
        <v>283</v>
      </c>
      <c r="AJ107" s="68"/>
      <c r="AK107" s="73" t="s">
        <v>282</v>
      </c>
      <c r="AL107" s="68" t="b">
        <v>0</v>
      </c>
      <c r="AM107" s="68">
        <v>1</v>
      </c>
      <c r="AN107" s="73" t="s">
        <v>913</v>
      </c>
      <c r="AO107" s="73" t="s">
        <v>284</v>
      </c>
      <c r="AP107" s="68" t="b">
        <v>0</v>
      </c>
      <c r="AQ107" s="73" t="s">
        <v>913</v>
      </c>
      <c r="AR107" s="68" t="s">
        <v>218</v>
      </c>
      <c r="AS107" s="68">
        <v>0</v>
      </c>
      <c r="AT107" s="68">
        <v>0</v>
      </c>
      <c r="AU107" s="68"/>
      <c r="AV107" s="68"/>
      <c r="AW107" s="68"/>
      <c r="AX107" s="68"/>
      <c r="AY107" s="68"/>
      <c r="AZ107" s="68"/>
      <c r="BA107" s="68"/>
      <c r="BB107" s="68"/>
      <c r="BC107" s="68">
        <v>1</v>
      </c>
      <c r="BD107" s="67" t="str">
        <f>REPLACE(INDEX(GroupVertices[Group],MATCH(Edges[[#This Row],[Vertex 1]],GroupVertices[Vertex],0)),1,1,"")</f>
        <v>11</v>
      </c>
      <c r="BE107" s="67" t="str">
        <f>REPLACE(INDEX(GroupVertices[Group],MATCH(Edges[[#This Row],[Vertex 2]],GroupVertices[Vertex],0)),1,1,"")</f>
        <v>11</v>
      </c>
      <c r="BF107" s="49"/>
      <c r="BG107" s="50"/>
      <c r="BH107" s="49"/>
      <c r="BI107" s="50"/>
      <c r="BJ107" s="49"/>
      <c r="BK107" s="50"/>
      <c r="BL107" s="49"/>
      <c r="BM107" s="50"/>
      <c r="BN107" s="49"/>
    </row>
    <row r="108" spans="1:66" ht="15">
      <c r="A108" s="66" t="s">
        <v>624</v>
      </c>
      <c r="B108" s="66" t="s">
        <v>623</v>
      </c>
      <c r="C108" s="84" t="s">
        <v>538</v>
      </c>
      <c r="D108" s="94">
        <v>5</v>
      </c>
      <c r="E108" s="84"/>
      <c r="F108" s="96">
        <v>50</v>
      </c>
      <c r="G108" s="84"/>
      <c r="H108" s="82"/>
      <c r="I108" s="97"/>
      <c r="J108" s="97"/>
      <c r="K108" s="35" t="s">
        <v>65</v>
      </c>
      <c r="L108" s="98">
        <v>108</v>
      </c>
      <c r="M108" s="98"/>
      <c r="N108" s="99"/>
      <c r="O108" s="68" t="s">
        <v>262</v>
      </c>
      <c r="P108" s="70">
        <v>44698.31383101852</v>
      </c>
      <c r="Q108" s="68" t="s">
        <v>689</v>
      </c>
      <c r="R108" s="72" t="str">
        <f>HYPERLINK("https://thespinoff.co.nz/politics/17-05-2022/the-erp-is-a-step-in-the-right-direction-but-wheres-the-ambition")</f>
        <v>https://thespinoff.co.nz/politics/17-05-2022/the-erp-is-a-step-in-the-right-direction-but-wheres-the-ambition</v>
      </c>
      <c r="S108" s="68" t="s">
        <v>269</v>
      </c>
      <c r="T108" s="68"/>
      <c r="U108" s="68"/>
      <c r="V108" s="72" t="str">
        <f>HYPERLINK("https://pbs.twimg.com/profile_images/1526754636014579713/oQvAjr0Y_normal.jpg")</f>
        <v>https://pbs.twimg.com/profile_images/1526754636014579713/oQvAjr0Y_normal.jpg</v>
      </c>
      <c r="W108" s="70">
        <v>44698.31383101852</v>
      </c>
      <c r="X108" s="75">
        <v>44698</v>
      </c>
      <c r="Y108" s="73" t="s">
        <v>811</v>
      </c>
      <c r="Z108" s="72" t="str">
        <f>HYPERLINK("https://twitter.com/weall_aotearoa/status/1526465521134485510")</f>
        <v>https://twitter.com/weall_aotearoa/status/1526465521134485510</v>
      </c>
      <c r="AA108" s="68"/>
      <c r="AB108" s="68"/>
      <c r="AC108" s="73" t="s">
        <v>914</v>
      </c>
      <c r="AD108" s="68"/>
      <c r="AE108" s="68" t="b">
        <v>0</v>
      </c>
      <c r="AF108" s="68">
        <v>0</v>
      </c>
      <c r="AG108" s="73" t="s">
        <v>282</v>
      </c>
      <c r="AH108" s="68" t="b">
        <v>0</v>
      </c>
      <c r="AI108" s="68" t="s">
        <v>283</v>
      </c>
      <c r="AJ108" s="68"/>
      <c r="AK108" s="73" t="s">
        <v>282</v>
      </c>
      <c r="AL108" s="68" t="b">
        <v>0</v>
      </c>
      <c r="AM108" s="68">
        <v>1</v>
      </c>
      <c r="AN108" s="73" t="s">
        <v>913</v>
      </c>
      <c r="AO108" s="73" t="s">
        <v>284</v>
      </c>
      <c r="AP108" s="68" t="b">
        <v>0</v>
      </c>
      <c r="AQ108" s="73" t="s">
        <v>913</v>
      </c>
      <c r="AR108" s="68" t="s">
        <v>218</v>
      </c>
      <c r="AS108" s="68">
        <v>0</v>
      </c>
      <c r="AT108" s="68">
        <v>0</v>
      </c>
      <c r="AU108" s="68"/>
      <c r="AV108" s="68"/>
      <c r="AW108" s="68"/>
      <c r="AX108" s="68"/>
      <c r="AY108" s="68"/>
      <c r="AZ108" s="68"/>
      <c r="BA108" s="68"/>
      <c r="BB108" s="68"/>
      <c r="BC108" s="68">
        <v>1</v>
      </c>
      <c r="BD108" s="67" t="str">
        <f>REPLACE(INDEX(GroupVertices[Group],MATCH(Edges[[#This Row],[Vertex 1]],GroupVertices[Vertex],0)),1,1,"")</f>
        <v>11</v>
      </c>
      <c r="BE108" s="67" t="str">
        <f>REPLACE(INDEX(GroupVertices[Group],MATCH(Edges[[#This Row],[Vertex 2]],GroupVertices[Vertex],0)),1,1,"")</f>
        <v>11</v>
      </c>
      <c r="BF108" s="49">
        <v>0</v>
      </c>
      <c r="BG108" s="50">
        <v>0</v>
      </c>
      <c r="BH108" s="49">
        <v>0</v>
      </c>
      <c r="BI108" s="50">
        <v>0</v>
      </c>
      <c r="BJ108" s="49">
        <v>0</v>
      </c>
      <c r="BK108" s="50">
        <v>0</v>
      </c>
      <c r="BL108" s="49">
        <v>26</v>
      </c>
      <c r="BM108" s="50">
        <v>100</v>
      </c>
      <c r="BN108" s="49">
        <v>26</v>
      </c>
    </row>
    <row r="109" spans="1:66" ht="15">
      <c r="A109" s="66" t="s">
        <v>625</v>
      </c>
      <c r="B109" s="66" t="s">
        <v>625</v>
      </c>
      <c r="C109" s="84" t="s">
        <v>538</v>
      </c>
      <c r="D109" s="94">
        <v>5</v>
      </c>
      <c r="E109" s="84"/>
      <c r="F109" s="96">
        <v>50</v>
      </c>
      <c r="G109" s="84"/>
      <c r="H109" s="82"/>
      <c r="I109" s="97"/>
      <c r="J109" s="97"/>
      <c r="K109" s="35" t="s">
        <v>65</v>
      </c>
      <c r="L109" s="98">
        <v>109</v>
      </c>
      <c r="M109" s="98"/>
      <c r="N109" s="99"/>
      <c r="O109" s="68" t="s">
        <v>218</v>
      </c>
      <c r="P109" s="70">
        <v>44697.08954861111</v>
      </c>
      <c r="Q109" s="68" t="s">
        <v>673</v>
      </c>
      <c r="R109" s="68"/>
      <c r="S109" s="68"/>
      <c r="T109" s="68"/>
      <c r="U109" s="68"/>
      <c r="V109" s="72" t="str">
        <f>HYPERLINK("https://pbs.twimg.com/profile_images/1438825798664790022/_-j5pae4_normal.jpg")</f>
        <v>https://pbs.twimg.com/profile_images/1438825798664790022/_-j5pae4_normal.jpg</v>
      </c>
      <c r="W109" s="70">
        <v>44697.08954861111</v>
      </c>
      <c r="X109" s="75">
        <v>44697</v>
      </c>
      <c r="Y109" s="73" t="s">
        <v>812</v>
      </c>
      <c r="Z109" s="72" t="str">
        <f>HYPERLINK("https://twitter.com/climatejusticet/status/1526021856079511552")</f>
        <v>https://twitter.com/climatejusticet/status/1526021856079511552</v>
      </c>
      <c r="AA109" s="68"/>
      <c r="AB109" s="68"/>
      <c r="AC109" s="73" t="s">
        <v>915</v>
      </c>
      <c r="AD109" s="68"/>
      <c r="AE109" s="68" t="b">
        <v>0</v>
      </c>
      <c r="AF109" s="68">
        <v>69</v>
      </c>
      <c r="AG109" s="73" t="s">
        <v>282</v>
      </c>
      <c r="AH109" s="68" t="b">
        <v>0</v>
      </c>
      <c r="AI109" s="68" t="s">
        <v>283</v>
      </c>
      <c r="AJ109" s="68"/>
      <c r="AK109" s="73" t="s">
        <v>282</v>
      </c>
      <c r="AL109" s="68" t="b">
        <v>0</v>
      </c>
      <c r="AM109" s="68">
        <v>14</v>
      </c>
      <c r="AN109" s="73" t="s">
        <v>282</v>
      </c>
      <c r="AO109" s="73" t="s">
        <v>285</v>
      </c>
      <c r="AP109" s="68" t="b">
        <v>0</v>
      </c>
      <c r="AQ109" s="73" t="s">
        <v>915</v>
      </c>
      <c r="AR109" s="68" t="s">
        <v>218</v>
      </c>
      <c r="AS109" s="68">
        <v>0</v>
      </c>
      <c r="AT109" s="68">
        <v>0</v>
      </c>
      <c r="AU109" s="68"/>
      <c r="AV109" s="68"/>
      <c r="AW109" s="68"/>
      <c r="AX109" s="68"/>
      <c r="AY109" s="68"/>
      <c r="AZ109" s="68"/>
      <c r="BA109" s="68"/>
      <c r="BB109" s="68"/>
      <c r="BC109" s="68">
        <v>1</v>
      </c>
      <c r="BD109" s="67" t="str">
        <f>REPLACE(INDEX(GroupVertices[Group],MATCH(Edges[[#This Row],[Vertex 1]],GroupVertices[Vertex],0)),1,1,"")</f>
        <v>3</v>
      </c>
      <c r="BE109" s="67" t="str">
        <f>REPLACE(INDEX(GroupVertices[Group],MATCH(Edges[[#This Row],[Vertex 2]],GroupVertices[Vertex],0)),1,1,"")</f>
        <v>3</v>
      </c>
      <c r="BF109" s="49">
        <v>1</v>
      </c>
      <c r="BG109" s="50">
        <v>2.3255813953488373</v>
      </c>
      <c r="BH109" s="49">
        <v>0</v>
      </c>
      <c r="BI109" s="50">
        <v>0</v>
      </c>
      <c r="BJ109" s="49">
        <v>0</v>
      </c>
      <c r="BK109" s="50">
        <v>0</v>
      </c>
      <c r="BL109" s="49">
        <v>42</v>
      </c>
      <c r="BM109" s="50">
        <v>97.67441860465117</v>
      </c>
      <c r="BN109" s="49">
        <v>43</v>
      </c>
    </row>
    <row r="110" spans="1:66" ht="15">
      <c r="A110" s="66" t="s">
        <v>626</v>
      </c>
      <c r="B110" s="66" t="s">
        <v>625</v>
      </c>
      <c r="C110" s="84" t="s">
        <v>538</v>
      </c>
      <c r="D110" s="94">
        <v>5</v>
      </c>
      <c r="E110" s="84"/>
      <c r="F110" s="96">
        <v>50</v>
      </c>
      <c r="G110" s="84"/>
      <c r="H110" s="82"/>
      <c r="I110" s="97"/>
      <c r="J110" s="97"/>
      <c r="K110" s="35" t="s">
        <v>65</v>
      </c>
      <c r="L110" s="98">
        <v>110</v>
      </c>
      <c r="M110" s="98"/>
      <c r="N110" s="99"/>
      <c r="O110" s="68" t="s">
        <v>262</v>
      </c>
      <c r="P110" s="70">
        <v>44698.35832175926</v>
      </c>
      <c r="Q110" s="68" t="s">
        <v>673</v>
      </c>
      <c r="R110" s="68"/>
      <c r="S110" s="68"/>
      <c r="T110" s="68"/>
      <c r="U110" s="68"/>
      <c r="V110" s="72" t="str">
        <f>HYPERLINK("https://pbs.twimg.com/profile_images/1512171613139378176/dHrGkvuq_normal.jpg")</f>
        <v>https://pbs.twimg.com/profile_images/1512171613139378176/dHrGkvuq_normal.jpg</v>
      </c>
      <c r="W110" s="70">
        <v>44698.35832175926</v>
      </c>
      <c r="X110" s="75">
        <v>44698</v>
      </c>
      <c r="Y110" s="73" t="s">
        <v>813</v>
      </c>
      <c r="Z110" s="72" t="str">
        <f>HYPERLINK("https://twitter.com/envirdebbie/status/1526481643485413377")</f>
        <v>https://twitter.com/envirdebbie/status/1526481643485413377</v>
      </c>
      <c r="AA110" s="68"/>
      <c r="AB110" s="68"/>
      <c r="AC110" s="73" t="s">
        <v>916</v>
      </c>
      <c r="AD110" s="68"/>
      <c r="AE110" s="68" t="b">
        <v>0</v>
      </c>
      <c r="AF110" s="68">
        <v>0</v>
      </c>
      <c r="AG110" s="73" t="s">
        <v>282</v>
      </c>
      <c r="AH110" s="68" t="b">
        <v>0</v>
      </c>
      <c r="AI110" s="68" t="s">
        <v>283</v>
      </c>
      <c r="AJ110" s="68"/>
      <c r="AK110" s="73" t="s">
        <v>282</v>
      </c>
      <c r="AL110" s="68" t="b">
        <v>0</v>
      </c>
      <c r="AM110" s="68">
        <v>14</v>
      </c>
      <c r="AN110" s="73" t="s">
        <v>915</v>
      </c>
      <c r="AO110" s="73" t="s">
        <v>284</v>
      </c>
      <c r="AP110" s="68" t="b">
        <v>0</v>
      </c>
      <c r="AQ110" s="73" t="s">
        <v>915</v>
      </c>
      <c r="AR110" s="68" t="s">
        <v>218</v>
      </c>
      <c r="AS110" s="68">
        <v>0</v>
      </c>
      <c r="AT110" s="68">
        <v>0</v>
      </c>
      <c r="AU110" s="68"/>
      <c r="AV110" s="68"/>
      <c r="AW110" s="68"/>
      <c r="AX110" s="68"/>
      <c r="AY110" s="68"/>
      <c r="AZ110" s="68"/>
      <c r="BA110" s="68"/>
      <c r="BB110" s="68"/>
      <c r="BC110" s="68">
        <v>1</v>
      </c>
      <c r="BD110" s="67" t="str">
        <f>REPLACE(INDEX(GroupVertices[Group],MATCH(Edges[[#This Row],[Vertex 1]],GroupVertices[Vertex],0)),1,1,"")</f>
        <v>3</v>
      </c>
      <c r="BE110" s="67" t="str">
        <f>REPLACE(INDEX(GroupVertices[Group],MATCH(Edges[[#This Row],[Vertex 2]],GroupVertices[Vertex],0)),1,1,"")</f>
        <v>3</v>
      </c>
      <c r="BF110" s="49">
        <v>1</v>
      </c>
      <c r="BG110" s="50">
        <v>2.3255813953488373</v>
      </c>
      <c r="BH110" s="49">
        <v>0</v>
      </c>
      <c r="BI110" s="50">
        <v>0</v>
      </c>
      <c r="BJ110" s="49">
        <v>0</v>
      </c>
      <c r="BK110" s="50">
        <v>0</v>
      </c>
      <c r="BL110" s="49">
        <v>42</v>
      </c>
      <c r="BM110" s="50">
        <v>97.67441860465117</v>
      </c>
      <c r="BN110" s="49">
        <v>43</v>
      </c>
    </row>
    <row r="111" spans="1:66" ht="15">
      <c r="A111" s="66" t="s">
        <v>627</v>
      </c>
      <c r="B111" s="66" t="s">
        <v>650</v>
      </c>
      <c r="C111" s="84" t="s">
        <v>538</v>
      </c>
      <c r="D111" s="94">
        <v>5</v>
      </c>
      <c r="E111" s="84"/>
      <c r="F111" s="96">
        <v>50</v>
      </c>
      <c r="G111" s="84"/>
      <c r="H111" s="82"/>
      <c r="I111" s="97"/>
      <c r="J111" s="97"/>
      <c r="K111" s="35" t="s">
        <v>65</v>
      </c>
      <c r="L111" s="98">
        <v>111</v>
      </c>
      <c r="M111" s="98"/>
      <c r="N111" s="99"/>
      <c r="O111" s="68" t="s">
        <v>263</v>
      </c>
      <c r="P111" s="70">
        <v>44698.36976851852</v>
      </c>
      <c r="Q111" s="68" t="s">
        <v>690</v>
      </c>
      <c r="R111" s="68"/>
      <c r="S111" s="68"/>
      <c r="T111" s="73" t="s">
        <v>719</v>
      </c>
      <c r="U111" s="68"/>
      <c r="V111" s="72" t="str">
        <f>HYPERLINK("https://pbs.twimg.com/profile_images/1124518934995013632/e7CqR2Cn_normal.jpg")</f>
        <v>https://pbs.twimg.com/profile_images/1124518934995013632/e7CqR2Cn_normal.jpg</v>
      </c>
      <c r="W111" s="70">
        <v>44698.36976851852</v>
      </c>
      <c r="X111" s="75">
        <v>44698</v>
      </c>
      <c r="Y111" s="73" t="s">
        <v>814</v>
      </c>
      <c r="Z111" s="72" t="str">
        <f>HYPERLINK("https://twitter.com/needlesineyes/status/1526485792893284354")</f>
        <v>https://twitter.com/needlesineyes/status/1526485792893284354</v>
      </c>
      <c r="AA111" s="68"/>
      <c r="AB111" s="68"/>
      <c r="AC111" s="73" t="s">
        <v>917</v>
      </c>
      <c r="AD111" s="68"/>
      <c r="AE111" s="68" t="b">
        <v>0</v>
      </c>
      <c r="AF111" s="68">
        <v>0</v>
      </c>
      <c r="AG111" s="73" t="s">
        <v>282</v>
      </c>
      <c r="AH111" s="68" t="b">
        <v>0</v>
      </c>
      <c r="AI111" s="68" t="s">
        <v>283</v>
      </c>
      <c r="AJ111" s="68"/>
      <c r="AK111" s="73" t="s">
        <v>282</v>
      </c>
      <c r="AL111" s="68" t="b">
        <v>0</v>
      </c>
      <c r="AM111" s="68">
        <v>0</v>
      </c>
      <c r="AN111" s="73" t="s">
        <v>282</v>
      </c>
      <c r="AO111" s="73" t="s">
        <v>284</v>
      </c>
      <c r="AP111" s="68" t="b">
        <v>0</v>
      </c>
      <c r="AQ111" s="73" t="s">
        <v>917</v>
      </c>
      <c r="AR111" s="68" t="s">
        <v>218</v>
      </c>
      <c r="AS111" s="68">
        <v>0</v>
      </c>
      <c r="AT111" s="68">
        <v>0</v>
      </c>
      <c r="AU111" s="68"/>
      <c r="AV111" s="68"/>
      <c r="AW111" s="68"/>
      <c r="AX111" s="68"/>
      <c r="AY111" s="68"/>
      <c r="AZ111" s="68"/>
      <c r="BA111" s="68"/>
      <c r="BB111" s="68"/>
      <c r="BC111" s="68">
        <v>1</v>
      </c>
      <c r="BD111" s="67" t="str">
        <f>REPLACE(INDEX(GroupVertices[Group],MATCH(Edges[[#This Row],[Vertex 1]],GroupVertices[Vertex],0)),1,1,"")</f>
        <v>16</v>
      </c>
      <c r="BE111" s="67" t="str">
        <f>REPLACE(INDEX(GroupVertices[Group],MATCH(Edges[[#This Row],[Vertex 2]],GroupVertices[Vertex],0)),1,1,"")</f>
        <v>16</v>
      </c>
      <c r="BF111" s="49">
        <v>0</v>
      </c>
      <c r="BG111" s="50">
        <v>0</v>
      </c>
      <c r="BH111" s="49">
        <v>0</v>
      </c>
      <c r="BI111" s="50">
        <v>0</v>
      </c>
      <c r="BJ111" s="49">
        <v>0</v>
      </c>
      <c r="BK111" s="50">
        <v>0</v>
      </c>
      <c r="BL111" s="49">
        <v>45</v>
      </c>
      <c r="BM111" s="50">
        <v>100</v>
      </c>
      <c r="BN111" s="49">
        <v>45</v>
      </c>
    </row>
    <row r="112" spans="1:66" ht="15">
      <c r="A112" s="66" t="s">
        <v>260</v>
      </c>
      <c r="B112" s="66" t="s">
        <v>260</v>
      </c>
      <c r="C112" s="84" t="s">
        <v>538</v>
      </c>
      <c r="D112" s="94">
        <v>5</v>
      </c>
      <c r="E112" s="84"/>
      <c r="F112" s="96">
        <v>50</v>
      </c>
      <c r="G112" s="84"/>
      <c r="H112" s="82"/>
      <c r="I112" s="97"/>
      <c r="J112" s="97"/>
      <c r="K112" s="35" t="s">
        <v>65</v>
      </c>
      <c r="L112" s="98">
        <v>112</v>
      </c>
      <c r="M112" s="98"/>
      <c r="N112" s="99"/>
      <c r="O112" s="68" t="s">
        <v>218</v>
      </c>
      <c r="P112" s="70">
        <v>44698.4234375</v>
      </c>
      <c r="Q112" s="68" t="s">
        <v>265</v>
      </c>
      <c r="R112" s="72" t="str">
        <f>HYPERLINK("https://truthusa.us/business-news/new-zealand-government-to-use-emission-trading-scheme-to-fund-ev-rollout/")</f>
        <v>https://truthusa.us/business-news/new-zealand-government-to-use-emission-trading-scheme-to-fund-ev-rollout/</v>
      </c>
      <c r="S112" s="68" t="s">
        <v>268</v>
      </c>
      <c r="T112" s="68"/>
      <c r="U112" s="72" t="str">
        <f>HYPERLINK("https://pbs.twimg.com/media/FS88bgXWQAEDE5I.jpg")</f>
        <v>https://pbs.twimg.com/media/FS88bgXWQAEDE5I.jpg</v>
      </c>
      <c r="V112" s="72" t="str">
        <f>HYPERLINK("https://pbs.twimg.com/media/FS88bgXWQAEDE5I.jpg")</f>
        <v>https://pbs.twimg.com/media/FS88bgXWQAEDE5I.jpg</v>
      </c>
      <c r="W112" s="70">
        <v>44698.4234375</v>
      </c>
      <c r="X112" s="75">
        <v>44698</v>
      </c>
      <c r="Y112" s="73" t="s">
        <v>276</v>
      </c>
      <c r="Z112" s="72" t="str">
        <f>HYPERLINK("https://twitter.com/izzorv6/status/1526505243541913600")</f>
        <v>https://twitter.com/izzorv6/status/1526505243541913600</v>
      </c>
      <c r="AA112" s="68"/>
      <c r="AB112" s="68"/>
      <c r="AC112" s="73" t="s">
        <v>281</v>
      </c>
      <c r="AD112" s="68"/>
      <c r="AE112" s="68" t="b">
        <v>0</v>
      </c>
      <c r="AF112" s="68">
        <v>1</v>
      </c>
      <c r="AG112" s="73" t="s">
        <v>282</v>
      </c>
      <c r="AH112" s="68" t="b">
        <v>0</v>
      </c>
      <c r="AI112" s="68" t="s">
        <v>283</v>
      </c>
      <c r="AJ112" s="68"/>
      <c r="AK112" s="73" t="s">
        <v>282</v>
      </c>
      <c r="AL112" s="68" t="b">
        <v>0</v>
      </c>
      <c r="AM112" s="68">
        <v>1</v>
      </c>
      <c r="AN112" s="73" t="s">
        <v>282</v>
      </c>
      <c r="AO112" s="73" t="s">
        <v>287</v>
      </c>
      <c r="AP112" s="68" t="b">
        <v>0</v>
      </c>
      <c r="AQ112" s="73" t="s">
        <v>281</v>
      </c>
      <c r="AR112" s="68" t="s">
        <v>218</v>
      </c>
      <c r="AS112" s="68">
        <v>0</v>
      </c>
      <c r="AT112" s="68">
        <v>0</v>
      </c>
      <c r="AU112" s="68"/>
      <c r="AV112" s="68"/>
      <c r="AW112" s="68"/>
      <c r="AX112" s="68"/>
      <c r="AY112" s="68"/>
      <c r="AZ112" s="68"/>
      <c r="BA112" s="68"/>
      <c r="BB112" s="68"/>
      <c r="BC112" s="68">
        <v>1</v>
      </c>
      <c r="BD112" s="67" t="str">
        <f>REPLACE(INDEX(GroupVertices[Group],MATCH(Edges[[#This Row],[Vertex 1]],GroupVertices[Vertex],0)),1,1,"")</f>
        <v>15</v>
      </c>
      <c r="BE112" s="67" t="str">
        <f>REPLACE(INDEX(GroupVertices[Group],MATCH(Edges[[#This Row],[Vertex 2]],GroupVertices[Vertex],0)),1,1,"")</f>
        <v>15</v>
      </c>
      <c r="BF112" s="49">
        <v>0</v>
      </c>
      <c r="BG112" s="50">
        <v>0</v>
      </c>
      <c r="BH112" s="49">
        <v>1</v>
      </c>
      <c r="BI112" s="50">
        <v>2.7777777777777777</v>
      </c>
      <c r="BJ112" s="49">
        <v>0</v>
      </c>
      <c r="BK112" s="50">
        <v>0</v>
      </c>
      <c r="BL112" s="49">
        <v>35</v>
      </c>
      <c r="BM112" s="50">
        <v>97.22222222222223</v>
      </c>
      <c r="BN112" s="49">
        <v>36</v>
      </c>
    </row>
    <row r="113" spans="1:66" ht="15">
      <c r="A113" s="66" t="s">
        <v>256</v>
      </c>
      <c r="B113" s="66" t="s">
        <v>260</v>
      </c>
      <c r="C113" s="84" t="s">
        <v>538</v>
      </c>
      <c r="D113" s="94">
        <v>5</v>
      </c>
      <c r="E113" s="84"/>
      <c r="F113" s="96">
        <v>50</v>
      </c>
      <c r="G113" s="84"/>
      <c r="H113" s="82"/>
      <c r="I113" s="97"/>
      <c r="J113" s="97"/>
      <c r="K113" s="35" t="s">
        <v>65</v>
      </c>
      <c r="L113" s="98">
        <v>113</v>
      </c>
      <c r="M113" s="98"/>
      <c r="N113" s="99"/>
      <c r="O113" s="68" t="s">
        <v>262</v>
      </c>
      <c r="P113" s="70">
        <v>44698.449537037035</v>
      </c>
      <c r="Q113" s="68" t="s">
        <v>265</v>
      </c>
      <c r="R113" s="72" t="str">
        <f>HYPERLINK("https://truthusa.us/business-news/new-zealand-government-to-use-emission-trading-scheme-to-fund-ev-rollout/")</f>
        <v>https://truthusa.us/business-news/new-zealand-government-to-use-emission-trading-scheme-to-fund-ev-rollout/</v>
      </c>
      <c r="S113" s="68" t="s">
        <v>268</v>
      </c>
      <c r="T113" s="68"/>
      <c r="U113" s="72" t="str">
        <f>HYPERLINK("https://pbs.twimg.com/media/FS88bgXWQAEDE5I.jpg")</f>
        <v>https://pbs.twimg.com/media/FS88bgXWQAEDE5I.jpg</v>
      </c>
      <c r="V113" s="72" t="str">
        <f>HYPERLINK("https://pbs.twimg.com/media/FS88bgXWQAEDE5I.jpg")</f>
        <v>https://pbs.twimg.com/media/FS88bgXWQAEDE5I.jpg</v>
      </c>
      <c r="W113" s="70">
        <v>44698.449537037035</v>
      </c>
      <c r="X113" s="75">
        <v>44698</v>
      </c>
      <c r="Y113" s="73" t="s">
        <v>272</v>
      </c>
      <c r="Z113" s="72" t="str">
        <f>HYPERLINK("https://twitter.com/l_pugmire/status/1526514702301696000")</f>
        <v>https://twitter.com/l_pugmire/status/1526514702301696000</v>
      </c>
      <c r="AA113" s="68"/>
      <c r="AB113" s="68"/>
      <c r="AC113" s="73" t="s">
        <v>277</v>
      </c>
      <c r="AD113" s="68"/>
      <c r="AE113" s="68" t="b">
        <v>0</v>
      </c>
      <c r="AF113" s="68">
        <v>0</v>
      </c>
      <c r="AG113" s="73" t="s">
        <v>282</v>
      </c>
      <c r="AH113" s="68" t="b">
        <v>0</v>
      </c>
      <c r="AI113" s="68" t="s">
        <v>283</v>
      </c>
      <c r="AJ113" s="68"/>
      <c r="AK113" s="73" t="s">
        <v>282</v>
      </c>
      <c r="AL113" s="68" t="b">
        <v>0</v>
      </c>
      <c r="AM113" s="68">
        <v>1</v>
      </c>
      <c r="AN113" s="73" t="s">
        <v>281</v>
      </c>
      <c r="AO113" s="73" t="s">
        <v>284</v>
      </c>
      <c r="AP113" s="68" t="b">
        <v>0</v>
      </c>
      <c r="AQ113" s="73" t="s">
        <v>281</v>
      </c>
      <c r="AR113" s="68" t="s">
        <v>218</v>
      </c>
      <c r="AS113" s="68">
        <v>0</v>
      </c>
      <c r="AT113" s="68">
        <v>0</v>
      </c>
      <c r="AU113" s="68"/>
      <c r="AV113" s="68"/>
      <c r="AW113" s="68"/>
      <c r="AX113" s="68"/>
      <c r="AY113" s="68"/>
      <c r="AZ113" s="68"/>
      <c r="BA113" s="68"/>
      <c r="BB113" s="68"/>
      <c r="BC113" s="68">
        <v>1</v>
      </c>
      <c r="BD113" s="67" t="str">
        <f>REPLACE(INDEX(GroupVertices[Group],MATCH(Edges[[#This Row],[Vertex 1]],GroupVertices[Vertex],0)),1,1,"")</f>
        <v>15</v>
      </c>
      <c r="BE113" s="67" t="str">
        <f>REPLACE(INDEX(GroupVertices[Group],MATCH(Edges[[#This Row],[Vertex 2]],GroupVertices[Vertex],0)),1,1,"")</f>
        <v>15</v>
      </c>
      <c r="BF113" s="49">
        <v>0</v>
      </c>
      <c r="BG113" s="50">
        <v>0</v>
      </c>
      <c r="BH113" s="49">
        <v>1</v>
      </c>
      <c r="BI113" s="50">
        <v>2.7777777777777777</v>
      </c>
      <c r="BJ113" s="49">
        <v>0</v>
      </c>
      <c r="BK113" s="50">
        <v>0</v>
      </c>
      <c r="BL113" s="49">
        <v>35</v>
      </c>
      <c r="BM113" s="50">
        <v>97.22222222222223</v>
      </c>
      <c r="BN113" s="49">
        <v>36</v>
      </c>
    </row>
    <row r="114" spans="1:66" ht="15">
      <c r="A114" s="66" t="s">
        <v>628</v>
      </c>
      <c r="B114" s="66" t="s">
        <v>651</v>
      </c>
      <c r="C114" s="84" t="s">
        <v>538</v>
      </c>
      <c r="D114" s="94">
        <v>5</v>
      </c>
      <c r="E114" s="84"/>
      <c r="F114" s="96">
        <v>50</v>
      </c>
      <c r="G114" s="84"/>
      <c r="H114" s="82"/>
      <c r="I114" s="97"/>
      <c r="J114" s="97"/>
      <c r="K114" s="35" t="s">
        <v>65</v>
      </c>
      <c r="L114" s="98">
        <v>114</v>
      </c>
      <c r="M114" s="98"/>
      <c r="N114" s="99"/>
      <c r="O114" s="68" t="s">
        <v>263</v>
      </c>
      <c r="P114" s="70">
        <v>44698.500243055554</v>
      </c>
      <c r="Q114" s="68" t="s">
        <v>691</v>
      </c>
      <c r="R114" s="72" t="str">
        <f>HYPERLINK("https://carbon-pulse.com/159647/")</f>
        <v>https://carbon-pulse.com/159647/</v>
      </c>
      <c r="S114" s="68" t="s">
        <v>706</v>
      </c>
      <c r="T114" s="73" t="s">
        <v>720</v>
      </c>
      <c r="U114" s="68"/>
      <c r="V114" s="72" t="str">
        <f>HYPERLINK("https://pbs.twimg.com/profile_images/1235481437630918658/iHZsj1Q2_normal.jpg")</f>
        <v>https://pbs.twimg.com/profile_images/1235481437630918658/iHZsj1Q2_normal.jpg</v>
      </c>
      <c r="W114" s="70">
        <v>44698.500243055554</v>
      </c>
      <c r="X114" s="75">
        <v>44698</v>
      </c>
      <c r="Y114" s="73" t="s">
        <v>815</v>
      </c>
      <c r="Z114" s="72" t="str">
        <f>HYPERLINK("https://twitter.com/mark_tilly1/status/1526533075987238912")</f>
        <v>https://twitter.com/mark_tilly1/status/1526533075987238912</v>
      </c>
      <c r="AA114" s="68"/>
      <c r="AB114" s="68"/>
      <c r="AC114" s="73" t="s">
        <v>918</v>
      </c>
      <c r="AD114" s="68"/>
      <c r="AE114" s="68" t="b">
        <v>0</v>
      </c>
      <c r="AF114" s="68">
        <v>0</v>
      </c>
      <c r="AG114" s="73" t="s">
        <v>282</v>
      </c>
      <c r="AH114" s="68" t="b">
        <v>0</v>
      </c>
      <c r="AI114" s="68" t="s">
        <v>283</v>
      </c>
      <c r="AJ114" s="68"/>
      <c r="AK114" s="73" t="s">
        <v>282</v>
      </c>
      <c r="AL114" s="68" t="b">
        <v>0</v>
      </c>
      <c r="AM114" s="68">
        <v>0</v>
      </c>
      <c r="AN114" s="73" t="s">
        <v>282</v>
      </c>
      <c r="AO114" s="73" t="s">
        <v>285</v>
      </c>
      <c r="AP114" s="68" t="b">
        <v>0</v>
      </c>
      <c r="AQ114" s="73" t="s">
        <v>918</v>
      </c>
      <c r="AR114" s="68" t="s">
        <v>218</v>
      </c>
      <c r="AS114" s="68">
        <v>0</v>
      </c>
      <c r="AT114" s="68">
        <v>0</v>
      </c>
      <c r="AU114" s="68"/>
      <c r="AV114" s="68"/>
      <c r="AW114" s="68"/>
      <c r="AX114" s="68"/>
      <c r="AY114" s="68"/>
      <c r="AZ114" s="68"/>
      <c r="BA114" s="68"/>
      <c r="BB114" s="68"/>
      <c r="BC114" s="68">
        <v>1</v>
      </c>
      <c r="BD114" s="67" t="str">
        <f>REPLACE(INDEX(GroupVertices[Group],MATCH(Edges[[#This Row],[Vertex 1]],GroupVertices[Vertex],0)),1,1,"")</f>
        <v>14</v>
      </c>
      <c r="BE114" s="67" t="str">
        <f>REPLACE(INDEX(GroupVertices[Group],MATCH(Edges[[#This Row],[Vertex 2]],GroupVertices[Vertex],0)),1,1,"")</f>
        <v>14</v>
      </c>
      <c r="BF114" s="49">
        <v>0</v>
      </c>
      <c r="BG114" s="50">
        <v>0</v>
      </c>
      <c r="BH114" s="49">
        <v>1</v>
      </c>
      <c r="BI114" s="50">
        <v>3.225806451612903</v>
      </c>
      <c r="BJ114" s="49">
        <v>0</v>
      </c>
      <c r="BK114" s="50">
        <v>0</v>
      </c>
      <c r="BL114" s="49">
        <v>30</v>
      </c>
      <c r="BM114" s="50">
        <v>96.7741935483871</v>
      </c>
      <c r="BN114" s="49">
        <v>31</v>
      </c>
    </row>
    <row r="115" spans="1:66" ht="15">
      <c r="A115" s="66" t="s">
        <v>629</v>
      </c>
      <c r="B115" s="66" t="s">
        <v>629</v>
      </c>
      <c r="C115" s="84" t="s">
        <v>2013</v>
      </c>
      <c r="D115" s="94">
        <v>5</v>
      </c>
      <c r="E115" s="84"/>
      <c r="F115" s="96">
        <v>50</v>
      </c>
      <c r="G115" s="84"/>
      <c r="H115" s="82"/>
      <c r="I115" s="97"/>
      <c r="J115" s="97"/>
      <c r="K115" s="35" t="s">
        <v>65</v>
      </c>
      <c r="L115" s="98">
        <v>115</v>
      </c>
      <c r="M115" s="98"/>
      <c r="N115" s="99"/>
      <c r="O115" s="68" t="s">
        <v>218</v>
      </c>
      <c r="P115" s="70">
        <v>44697.023877314816</v>
      </c>
      <c r="Q115" s="68" t="s">
        <v>671</v>
      </c>
      <c r="R115" s="68"/>
      <c r="S115" s="68"/>
      <c r="T115" s="68"/>
      <c r="U115" s="68"/>
      <c r="V115" s="72" t="str">
        <f>HYPERLINK("https://pbs.twimg.com/profile_images/1136501773735157762/mIzrKmoN_normal.jpg")</f>
        <v>https://pbs.twimg.com/profile_images/1136501773735157762/mIzrKmoN_normal.jpg</v>
      </c>
      <c r="W115" s="70">
        <v>44697.023877314816</v>
      </c>
      <c r="X115" s="75">
        <v>44697</v>
      </c>
      <c r="Y115" s="73" t="s">
        <v>816</v>
      </c>
      <c r="Z115" s="72" t="str">
        <f>HYPERLINK("https://twitter.com/nashthomas/status/1525998057963200512")</f>
        <v>https://twitter.com/nashthomas/status/1525998057963200512</v>
      </c>
      <c r="AA115" s="68"/>
      <c r="AB115" s="68"/>
      <c r="AC115" s="73" t="s">
        <v>919</v>
      </c>
      <c r="AD115" s="68"/>
      <c r="AE115" s="68" t="b">
        <v>0</v>
      </c>
      <c r="AF115" s="68">
        <v>65</v>
      </c>
      <c r="AG115" s="73" t="s">
        <v>282</v>
      </c>
      <c r="AH115" s="68" t="b">
        <v>0</v>
      </c>
      <c r="AI115" s="68" t="s">
        <v>283</v>
      </c>
      <c r="AJ115" s="68"/>
      <c r="AK115" s="73" t="s">
        <v>282</v>
      </c>
      <c r="AL115" s="68" t="b">
        <v>0</v>
      </c>
      <c r="AM115" s="68">
        <v>11</v>
      </c>
      <c r="AN115" s="73" t="s">
        <v>282</v>
      </c>
      <c r="AO115" s="73" t="s">
        <v>284</v>
      </c>
      <c r="AP115" s="68" t="b">
        <v>0</v>
      </c>
      <c r="AQ115" s="73" t="s">
        <v>919</v>
      </c>
      <c r="AR115" s="68" t="s">
        <v>218</v>
      </c>
      <c r="AS115" s="68">
        <v>0</v>
      </c>
      <c r="AT115" s="68">
        <v>0</v>
      </c>
      <c r="AU115" s="68"/>
      <c r="AV115" s="68"/>
      <c r="AW115" s="68"/>
      <c r="AX115" s="68"/>
      <c r="AY115" s="68"/>
      <c r="AZ115" s="68"/>
      <c r="BA115" s="68"/>
      <c r="BB115" s="68"/>
      <c r="BC115" s="68">
        <v>2</v>
      </c>
      <c r="BD115" s="67" t="str">
        <f>REPLACE(INDEX(GroupVertices[Group],MATCH(Edges[[#This Row],[Vertex 1]],GroupVertices[Vertex],0)),1,1,"")</f>
        <v>1</v>
      </c>
      <c r="BE115" s="67" t="str">
        <f>REPLACE(INDEX(GroupVertices[Group],MATCH(Edges[[#This Row],[Vertex 2]],GroupVertices[Vertex],0)),1,1,"")</f>
        <v>1</v>
      </c>
      <c r="BF115" s="49">
        <v>1</v>
      </c>
      <c r="BG115" s="50">
        <v>2.272727272727273</v>
      </c>
      <c r="BH115" s="49">
        <v>0</v>
      </c>
      <c r="BI115" s="50">
        <v>0</v>
      </c>
      <c r="BJ115" s="49">
        <v>0</v>
      </c>
      <c r="BK115" s="50">
        <v>0</v>
      </c>
      <c r="BL115" s="49">
        <v>43</v>
      </c>
      <c r="BM115" s="50">
        <v>97.72727272727273</v>
      </c>
      <c r="BN115" s="49">
        <v>44</v>
      </c>
    </row>
    <row r="116" spans="1:66" ht="15">
      <c r="A116" s="66" t="s">
        <v>629</v>
      </c>
      <c r="B116" s="66" t="s">
        <v>629</v>
      </c>
      <c r="C116" s="84" t="s">
        <v>2013</v>
      </c>
      <c r="D116" s="94">
        <v>5</v>
      </c>
      <c r="E116" s="84"/>
      <c r="F116" s="96">
        <v>50</v>
      </c>
      <c r="G116" s="84"/>
      <c r="H116" s="82"/>
      <c r="I116" s="97"/>
      <c r="J116" s="97"/>
      <c r="K116" s="35" t="s">
        <v>65</v>
      </c>
      <c r="L116" s="98">
        <v>116</v>
      </c>
      <c r="M116" s="98"/>
      <c r="N116" s="99"/>
      <c r="O116" s="68" t="s">
        <v>218</v>
      </c>
      <c r="P116" s="70">
        <v>44697.066666666666</v>
      </c>
      <c r="Q116" s="68" t="s">
        <v>672</v>
      </c>
      <c r="R116" s="68"/>
      <c r="S116" s="68"/>
      <c r="T116" s="68"/>
      <c r="U116" s="68"/>
      <c r="V116" s="72" t="str">
        <f>HYPERLINK("https://pbs.twimg.com/profile_images/1136501773735157762/mIzrKmoN_normal.jpg")</f>
        <v>https://pbs.twimg.com/profile_images/1136501773735157762/mIzrKmoN_normal.jpg</v>
      </c>
      <c r="W116" s="70">
        <v>44697.066666666666</v>
      </c>
      <c r="X116" s="75">
        <v>44697</v>
      </c>
      <c r="Y116" s="73" t="s">
        <v>817</v>
      </c>
      <c r="Z116" s="72" t="str">
        <f>HYPERLINK("https://twitter.com/nashthomas/status/1526013565223567360")</f>
        <v>https://twitter.com/nashthomas/status/1526013565223567360</v>
      </c>
      <c r="AA116" s="68"/>
      <c r="AB116" s="68"/>
      <c r="AC116" s="73" t="s">
        <v>920</v>
      </c>
      <c r="AD116" s="68"/>
      <c r="AE116" s="68" t="b">
        <v>0</v>
      </c>
      <c r="AF116" s="68">
        <v>93</v>
      </c>
      <c r="AG116" s="73" t="s">
        <v>282</v>
      </c>
      <c r="AH116" s="68" t="b">
        <v>0</v>
      </c>
      <c r="AI116" s="68" t="s">
        <v>283</v>
      </c>
      <c r="AJ116" s="68"/>
      <c r="AK116" s="73" t="s">
        <v>282</v>
      </c>
      <c r="AL116" s="68" t="b">
        <v>0</v>
      </c>
      <c r="AM116" s="68">
        <v>13</v>
      </c>
      <c r="AN116" s="73" t="s">
        <v>282</v>
      </c>
      <c r="AO116" s="73" t="s">
        <v>284</v>
      </c>
      <c r="AP116" s="68" t="b">
        <v>0</v>
      </c>
      <c r="AQ116" s="73" t="s">
        <v>920</v>
      </c>
      <c r="AR116" s="68" t="s">
        <v>218</v>
      </c>
      <c r="AS116" s="68">
        <v>0</v>
      </c>
      <c r="AT116" s="68">
        <v>0</v>
      </c>
      <c r="AU116" s="68"/>
      <c r="AV116" s="68"/>
      <c r="AW116" s="68"/>
      <c r="AX116" s="68"/>
      <c r="AY116" s="68"/>
      <c r="AZ116" s="68"/>
      <c r="BA116" s="68"/>
      <c r="BB116" s="68"/>
      <c r="BC116" s="68">
        <v>2</v>
      </c>
      <c r="BD116" s="67" t="str">
        <f>REPLACE(INDEX(GroupVertices[Group],MATCH(Edges[[#This Row],[Vertex 1]],GroupVertices[Vertex],0)),1,1,"")</f>
        <v>1</v>
      </c>
      <c r="BE116" s="67" t="str">
        <f>REPLACE(INDEX(GroupVertices[Group],MATCH(Edges[[#This Row],[Vertex 2]],GroupVertices[Vertex],0)),1,1,"")</f>
        <v>1</v>
      </c>
      <c r="BF116" s="49">
        <v>2</v>
      </c>
      <c r="BG116" s="50">
        <v>4</v>
      </c>
      <c r="BH116" s="49">
        <v>0</v>
      </c>
      <c r="BI116" s="50">
        <v>0</v>
      </c>
      <c r="BJ116" s="49">
        <v>0</v>
      </c>
      <c r="BK116" s="50">
        <v>0</v>
      </c>
      <c r="BL116" s="49">
        <v>48</v>
      </c>
      <c r="BM116" s="50">
        <v>96</v>
      </c>
      <c r="BN116" s="49">
        <v>50</v>
      </c>
    </row>
    <row r="117" spans="1:66" ht="15">
      <c r="A117" s="66" t="s">
        <v>630</v>
      </c>
      <c r="B117" s="66" t="s">
        <v>629</v>
      </c>
      <c r="C117" s="84" t="s">
        <v>538</v>
      </c>
      <c r="D117" s="94">
        <v>5</v>
      </c>
      <c r="E117" s="84"/>
      <c r="F117" s="96">
        <v>50</v>
      </c>
      <c r="G117" s="84"/>
      <c r="H117" s="82"/>
      <c r="I117" s="97"/>
      <c r="J117" s="97"/>
      <c r="K117" s="35" t="s">
        <v>65</v>
      </c>
      <c r="L117" s="98">
        <v>117</v>
      </c>
      <c r="M117" s="98"/>
      <c r="N117" s="99"/>
      <c r="O117" s="68" t="s">
        <v>262</v>
      </c>
      <c r="P117" s="70">
        <v>44698.79136574074</v>
      </c>
      <c r="Q117" s="68" t="s">
        <v>672</v>
      </c>
      <c r="R117" s="68"/>
      <c r="S117" s="68"/>
      <c r="T117" s="68"/>
      <c r="U117" s="68"/>
      <c r="V117" s="72" t="str">
        <f>HYPERLINK("https://pbs.twimg.com/profile_images/754486118704291840/wlhfZrzq_normal.jpg")</f>
        <v>https://pbs.twimg.com/profile_images/754486118704291840/wlhfZrzq_normal.jpg</v>
      </c>
      <c r="W117" s="70">
        <v>44698.79136574074</v>
      </c>
      <c r="X117" s="75">
        <v>44698</v>
      </c>
      <c r="Y117" s="73" t="s">
        <v>818</v>
      </c>
      <c r="Z117" s="72" t="str">
        <f>HYPERLINK("https://twitter.com/gaymaxine/status/1526638573801607169")</f>
        <v>https://twitter.com/gaymaxine/status/1526638573801607169</v>
      </c>
      <c r="AA117" s="68"/>
      <c r="AB117" s="68"/>
      <c r="AC117" s="73" t="s">
        <v>921</v>
      </c>
      <c r="AD117" s="68"/>
      <c r="AE117" s="68" t="b">
        <v>0</v>
      </c>
      <c r="AF117" s="68">
        <v>0</v>
      </c>
      <c r="AG117" s="73" t="s">
        <v>282</v>
      </c>
      <c r="AH117" s="68" t="b">
        <v>0</v>
      </c>
      <c r="AI117" s="68" t="s">
        <v>283</v>
      </c>
      <c r="AJ117" s="68"/>
      <c r="AK117" s="73" t="s">
        <v>282</v>
      </c>
      <c r="AL117" s="68" t="b">
        <v>0</v>
      </c>
      <c r="AM117" s="68">
        <v>13</v>
      </c>
      <c r="AN117" s="73" t="s">
        <v>920</v>
      </c>
      <c r="AO117" s="73" t="s">
        <v>947</v>
      </c>
      <c r="AP117" s="68" t="b">
        <v>0</v>
      </c>
      <c r="AQ117" s="73" t="s">
        <v>920</v>
      </c>
      <c r="AR117" s="68" t="s">
        <v>218</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1</v>
      </c>
      <c r="BF117" s="49">
        <v>2</v>
      </c>
      <c r="BG117" s="50">
        <v>4</v>
      </c>
      <c r="BH117" s="49">
        <v>0</v>
      </c>
      <c r="BI117" s="50">
        <v>0</v>
      </c>
      <c r="BJ117" s="49">
        <v>0</v>
      </c>
      <c r="BK117" s="50">
        <v>0</v>
      </c>
      <c r="BL117" s="49">
        <v>48</v>
      </c>
      <c r="BM117" s="50">
        <v>96</v>
      </c>
      <c r="BN117" s="49">
        <v>50</v>
      </c>
    </row>
    <row r="118" spans="1:66" ht="15">
      <c r="A118" s="66" t="s">
        <v>257</v>
      </c>
      <c r="B118" s="66" t="s">
        <v>257</v>
      </c>
      <c r="C118" s="84" t="s">
        <v>538</v>
      </c>
      <c r="D118" s="94">
        <v>5</v>
      </c>
      <c r="E118" s="84"/>
      <c r="F118" s="96">
        <v>50</v>
      </c>
      <c r="G118" s="84"/>
      <c r="H118" s="82"/>
      <c r="I118" s="97"/>
      <c r="J118" s="97"/>
      <c r="K118" s="35" t="s">
        <v>65</v>
      </c>
      <c r="L118" s="98">
        <v>118</v>
      </c>
      <c r="M118" s="98"/>
      <c r="N118" s="99"/>
      <c r="O118" s="68" t="s">
        <v>218</v>
      </c>
      <c r="P118" s="70">
        <v>44698.89925925926</v>
      </c>
      <c r="Q118" s="68" t="s">
        <v>266</v>
      </c>
      <c r="R118" s="72" t="str">
        <f>HYPERLINK("https://businessdesk.co.nz/article/climate-change/concrete-govt-eyes-carbon-border-tax")</f>
        <v>https://businessdesk.co.nz/article/climate-change/concrete-govt-eyes-carbon-border-tax</v>
      </c>
      <c r="S118" s="68" t="s">
        <v>269</v>
      </c>
      <c r="T118" s="68"/>
      <c r="U118" s="68"/>
      <c r="V118" s="72" t="str">
        <f>HYPERLINK("https://pbs.twimg.com/profile_images/1229581468113854464/YdbOAsfr_normal.jpg")</f>
        <v>https://pbs.twimg.com/profile_images/1229581468113854464/YdbOAsfr_normal.jpg</v>
      </c>
      <c r="W118" s="70">
        <v>44698.89925925926</v>
      </c>
      <c r="X118" s="75">
        <v>44698</v>
      </c>
      <c r="Y118" s="73" t="s">
        <v>273</v>
      </c>
      <c r="Z118" s="72" t="str">
        <f>HYPERLINK("https://twitter.com/businessdesk_nz/status/1526677673736798208")</f>
        <v>https://twitter.com/businessdesk_nz/status/1526677673736798208</v>
      </c>
      <c r="AA118" s="68"/>
      <c r="AB118" s="68"/>
      <c r="AC118" s="73" t="s">
        <v>278</v>
      </c>
      <c r="AD118" s="68"/>
      <c r="AE118" s="68" t="b">
        <v>0</v>
      </c>
      <c r="AF118" s="68">
        <v>0</v>
      </c>
      <c r="AG118" s="73" t="s">
        <v>282</v>
      </c>
      <c r="AH118" s="68" t="b">
        <v>0</v>
      </c>
      <c r="AI118" s="68" t="s">
        <v>283</v>
      </c>
      <c r="AJ118" s="68"/>
      <c r="AK118" s="73" t="s">
        <v>282</v>
      </c>
      <c r="AL118" s="68" t="b">
        <v>0</v>
      </c>
      <c r="AM118" s="68">
        <v>0</v>
      </c>
      <c r="AN118" s="73" t="s">
        <v>282</v>
      </c>
      <c r="AO118" s="73" t="s">
        <v>285</v>
      </c>
      <c r="AP118" s="68" t="b">
        <v>0</v>
      </c>
      <c r="AQ118" s="73" t="s">
        <v>278</v>
      </c>
      <c r="AR118" s="68" t="s">
        <v>218</v>
      </c>
      <c r="AS118" s="68">
        <v>0</v>
      </c>
      <c r="AT118" s="68">
        <v>0</v>
      </c>
      <c r="AU118" s="68"/>
      <c r="AV118" s="68"/>
      <c r="AW118" s="68"/>
      <c r="AX118" s="68"/>
      <c r="AY118" s="68"/>
      <c r="AZ118" s="68"/>
      <c r="BA118" s="68"/>
      <c r="BB118" s="68"/>
      <c r="BC118" s="68">
        <v>1</v>
      </c>
      <c r="BD118" s="67" t="str">
        <f>REPLACE(INDEX(GroupVertices[Group],MATCH(Edges[[#This Row],[Vertex 1]],GroupVertices[Vertex],0)),1,1,"")</f>
        <v>2</v>
      </c>
      <c r="BE118" s="67" t="str">
        <f>REPLACE(INDEX(GroupVertices[Group],MATCH(Edges[[#This Row],[Vertex 2]],GroupVertices[Vertex],0)),1,1,"")</f>
        <v>2</v>
      </c>
      <c r="BF118" s="49">
        <v>3</v>
      </c>
      <c r="BG118" s="50">
        <v>7.142857142857143</v>
      </c>
      <c r="BH118" s="49">
        <v>0</v>
      </c>
      <c r="BI118" s="50">
        <v>0</v>
      </c>
      <c r="BJ118" s="49">
        <v>0</v>
      </c>
      <c r="BK118" s="50">
        <v>0</v>
      </c>
      <c r="BL118" s="49">
        <v>39</v>
      </c>
      <c r="BM118" s="50">
        <v>92.85714285714286</v>
      </c>
      <c r="BN118" s="49">
        <v>42</v>
      </c>
    </row>
    <row r="119" spans="1:66" ht="15">
      <c r="A119" s="66" t="s">
        <v>631</v>
      </c>
      <c r="B119" s="66" t="s">
        <v>652</v>
      </c>
      <c r="C119" s="84" t="s">
        <v>538</v>
      </c>
      <c r="D119" s="94">
        <v>5</v>
      </c>
      <c r="E119" s="84"/>
      <c r="F119" s="96">
        <v>50</v>
      </c>
      <c r="G119" s="84"/>
      <c r="H119" s="82"/>
      <c r="I119" s="97"/>
      <c r="J119" s="97"/>
      <c r="K119" s="35" t="s">
        <v>65</v>
      </c>
      <c r="L119" s="98">
        <v>119</v>
      </c>
      <c r="M119" s="98"/>
      <c r="N119" s="99"/>
      <c r="O119" s="68" t="s">
        <v>263</v>
      </c>
      <c r="P119" s="70">
        <v>44698.92664351852</v>
      </c>
      <c r="Q119" s="68" t="s">
        <v>692</v>
      </c>
      <c r="R119" s="68"/>
      <c r="S119" s="68"/>
      <c r="T119" s="68"/>
      <c r="U119" s="68"/>
      <c r="V119" s="72" t="str">
        <f>HYPERLINK("https://pbs.twimg.com/profile_images/1520415532486430722/5jPSCaHo_normal.jpg")</f>
        <v>https://pbs.twimg.com/profile_images/1520415532486430722/5jPSCaHo_normal.jpg</v>
      </c>
      <c r="W119" s="70">
        <v>44698.92664351852</v>
      </c>
      <c r="X119" s="75">
        <v>44698</v>
      </c>
      <c r="Y119" s="73" t="s">
        <v>819</v>
      </c>
      <c r="Z119" s="72" t="str">
        <f>HYPERLINK("https://twitter.com/genevivelabont1/status/1526687596675571712")</f>
        <v>https://twitter.com/genevivelabont1/status/1526687596675571712</v>
      </c>
      <c r="AA119" s="68"/>
      <c r="AB119" s="68"/>
      <c r="AC119" s="73" t="s">
        <v>922</v>
      </c>
      <c r="AD119" s="73" t="s">
        <v>933</v>
      </c>
      <c r="AE119" s="68" t="b">
        <v>0</v>
      </c>
      <c r="AF119" s="68">
        <v>0</v>
      </c>
      <c r="AG119" s="73" t="s">
        <v>939</v>
      </c>
      <c r="AH119" s="68" t="b">
        <v>0</v>
      </c>
      <c r="AI119" s="68" t="s">
        <v>941</v>
      </c>
      <c r="AJ119" s="68"/>
      <c r="AK119" s="73" t="s">
        <v>282</v>
      </c>
      <c r="AL119" s="68" t="b">
        <v>0</v>
      </c>
      <c r="AM119" s="68">
        <v>0</v>
      </c>
      <c r="AN119" s="73" t="s">
        <v>282</v>
      </c>
      <c r="AO119" s="73" t="s">
        <v>947</v>
      </c>
      <c r="AP119" s="68" t="b">
        <v>0</v>
      </c>
      <c r="AQ119" s="73" t="s">
        <v>933</v>
      </c>
      <c r="AR119" s="68" t="s">
        <v>218</v>
      </c>
      <c r="AS119" s="68">
        <v>0</v>
      </c>
      <c r="AT119" s="68">
        <v>0</v>
      </c>
      <c r="AU119" s="68"/>
      <c r="AV119" s="68"/>
      <c r="AW119" s="68"/>
      <c r="AX119" s="68"/>
      <c r="AY119" s="68"/>
      <c r="AZ119" s="68"/>
      <c r="BA119" s="68"/>
      <c r="BB119" s="68"/>
      <c r="BC119" s="68">
        <v>1</v>
      </c>
      <c r="BD119" s="67" t="str">
        <f>REPLACE(INDEX(GroupVertices[Group],MATCH(Edges[[#This Row],[Vertex 1]],GroupVertices[Vertex],0)),1,1,"")</f>
        <v>10</v>
      </c>
      <c r="BE119" s="67" t="str">
        <f>REPLACE(INDEX(GroupVertices[Group],MATCH(Edges[[#This Row],[Vertex 2]],GroupVertices[Vertex],0)),1,1,"")</f>
        <v>10</v>
      </c>
      <c r="BF119" s="49"/>
      <c r="BG119" s="50"/>
      <c r="BH119" s="49"/>
      <c r="BI119" s="50"/>
      <c r="BJ119" s="49"/>
      <c r="BK119" s="50"/>
      <c r="BL119" s="49"/>
      <c r="BM119" s="50"/>
      <c r="BN119" s="49"/>
    </row>
    <row r="120" spans="1:66" ht="15">
      <c r="A120" s="66" t="s">
        <v>631</v>
      </c>
      <c r="B120" s="66" t="s">
        <v>653</v>
      </c>
      <c r="C120" s="84" t="s">
        <v>538</v>
      </c>
      <c r="D120" s="94">
        <v>5</v>
      </c>
      <c r="E120" s="84"/>
      <c r="F120" s="96">
        <v>50</v>
      </c>
      <c r="G120" s="84"/>
      <c r="H120" s="82"/>
      <c r="I120" s="97"/>
      <c r="J120" s="97"/>
      <c r="K120" s="35" t="s">
        <v>65</v>
      </c>
      <c r="L120" s="98">
        <v>120</v>
      </c>
      <c r="M120" s="98"/>
      <c r="N120" s="99"/>
      <c r="O120" s="68" t="s">
        <v>654</v>
      </c>
      <c r="P120" s="70">
        <v>44698.92664351852</v>
      </c>
      <c r="Q120" s="68" t="s">
        <v>692</v>
      </c>
      <c r="R120" s="68"/>
      <c r="S120" s="68"/>
      <c r="T120" s="68"/>
      <c r="U120" s="68"/>
      <c r="V120" s="72" t="str">
        <f>HYPERLINK("https://pbs.twimg.com/profile_images/1520415532486430722/5jPSCaHo_normal.jpg")</f>
        <v>https://pbs.twimg.com/profile_images/1520415532486430722/5jPSCaHo_normal.jpg</v>
      </c>
      <c r="W120" s="70">
        <v>44698.92664351852</v>
      </c>
      <c r="X120" s="75">
        <v>44698</v>
      </c>
      <c r="Y120" s="73" t="s">
        <v>819</v>
      </c>
      <c r="Z120" s="72" t="str">
        <f>HYPERLINK("https://twitter.com/genevivelabont1/status/1526687596675571712")</f>
        <v>https://twitter.com/genevivelabont1/status/1526687596675571712</v>
      </c>
      <c r="AA120" s="68"/>
      <c r="AB120" s="68"/>
      <c r="AC120" s="73" t="s">
        <v>922</v>
      </c>
      <c r="AD120" s="73" t="s">
        <v>933</v>
      </c>
      <c r="AE120" s="68" t="b">
        <v>0</v>
      </c>
      <c r="AF120" s="68">
        <v>0</v>
      </c>
      <c r="AG120" s="73" t="s">
        <v>939</v>
      </c>
      <c r="AH120" s="68" t="b">
        <v>0</v>
      </c>
      <c r="AI120" s="68" t="s">
        <v>941</v>
      </c>
      <c r="AJ120" s="68"/>
      <c r="AK120" s="73" t="s">
        <v>282</v>
      </c>
      <c r="AL120" s="68" t="b">
        <v>0</v>
      </c>
      <c r="AM120" s="68">
        <v>0</v>
      </c>
      <c r="AN120" s="73" t="s">
        <v>282</v>
      </c>
      <c r="AO120" s="73" t="s">
        <v>947</v>
      </c>
      <c r="AP120" s="68" t="b">
        <v>0</v>
      </c>
      <c r="AQ120" s="73" t="s">
        <v>933</v>
      </c>
      <c r="AR120" s="68" t="s">
        <v>218</v>
      </c>
      <c r="AS120" s="68">
        <v>0</v>
      </c>
      <c r="AT120" s="68">
        <v>0</v>
      </c>
      <c r="AU120" s="68"/>
      <c r="AV120" s="68"/>
      <c r="AW120" s="68"/>
      <c r="AX120" s="68"/>
      <c r="AY120" s="68"/>
      <c r="AZ120" s="68"/>
      <c r="BA120" s="68"/>
      <c r="BB120" s="68"/>
      <c r="BC120" s="68">
        <v>1</v>
      </c>
      <c r="BD120" s="67" t="str">
        <f>REPLACE(INDEX(GroupVertices[Group],MATCH(Edges[[#This Row],[Vertex 1]],GroupVertices[Vertex],0)),1,1,"")</f>
        <v>10</v>
      </c>
      <c r="BE120" s="67" t="str">
        <f>REPLACE(INDEX(GroupVertices[Group],MATCH(Edges[[#This Row],[Vertex 2]],GroupVertices[Vertex],0)),1,1,"")</f>
        <v>10</v>
      </c>
      <c r="BF120" s="49">
        <v>0</v>
      </c>
      <c r="BG120" s="50">
        <v>0</v>
      </c>
      <c r="BH120" s="49">
        <v>0</v>
      </c>
      <c r="BI120" s="50">
        <v>0</v>
      </c>
      <c r="BJ120" s="49">
        <v>0</v>
      </c>
      <c r="BK120" s="50">
        <v>0</v>
      </c>
      <c r="BL120" s="49">
        <v>35</v>
      </c>
      <c r="BM120" s="50">
        <v>100</v>
      </c>
      <c r="BN120" s="49">
        <v>35</v>
      </c>
    </row>
    <row r="121" spans="1:66" ht="15">
      <c r="A121" s="66" t="s">
        <v>632</v>
      </c>
      <c r="B121" s="66" t="s">
        <v>632</v>
      </c>
      <c r="C121" s="84" t="s">
        <v>538</v>
      </c>
      <c r="D121" s="94">
        <v>5</v>
      </c>
      <c r="E121" s="84"/>
      <c r="F121" s="96">
        <v>50</v>
      </c>
      <c r="G121" s="84"/>
      <c r="H121" s="82"/>
      <c r="I121" s="97"/>
      <c r="J121" s="97"/>
      <c r="K121" s="35" t="s">
        <v>65</v>
      </c>
      <c r="L121" s="98">
        <v>121</v>
      </c>
      <c r="M121" s="98"/>
      <c r="N121" s="99"/>
      <c r="O121" s="68" t="s">
        <v>218</v>
      </c>
      <c r="P121" s="70">
        <v>44698.99334490741</v>
      </c>
      <c r="Q121" s="68" t="s">
        <v>693</v>
      </c>
      <c r="R121" s="68"/>
      <c r="S121" s="68"/>
      <c r="T121" s="68"/>
      <c r="U121" s="68"/>
      <c r="V121" s="72" t="str">
        <f>HYPERLINK("https://pbs.twimg.com/profile_images/1491428224798117891/9rG7sAag_normal.jpg")</f>
        <v>https://pbs.twimg.com/profile_images/1491428224798117891/9rG7sAag_normal.jpg</v>
      </c>
      <c r="W121" s="70">
        <v>44698.99334490741</v>
      </c>
      <c r="X121" s="75">
        <v>44698</v>
      </c>
      <c r="Y121" s="73" t="s">
        <v>820</v>
      </c>
      <c r="Z121" s="72" t="str">
        <f>HYPERLINK("https://twitter.com/emilypont/status/1526711769749540865")</f>
        <v>https://twitter.com/emilypont/status/1526711769749540865</v>
      </c>
      <c r="AA121" s="68"/>
      <c r="AB121" s="68"/>
      <c r="AC121" s="73" t="s">
        <v>923</v>
      </c>
      <c r="AD121" s="73" t="s">
        <v>934</v>
      </c>
      <c r="AE121" s="68" t="b">
        <v>0</v>
      </c>
      <c r="AF121" s="68">
        <v>0</v>
      </c>
      <c r="AG121" s="73" t="s">
        <v>940</v>
      </c>
      <c r="AH121" s="68" t="b">
        <v>0</v>
      </c>
      <c r="AI121" s="68" t="s">
        <v>283</v>
      </c>
      <c r="AJ121" s="68"/>
      <c r="AK121" s="73" t="s">
        <v>282</v>
      </c>
      <c r="AL121" s="68" t="b">
        <v>0</v>
      </c>
      <c r="AM121" s="68">
        <v>0</v>
      </c>
      <c r="AN121" s="73" t="s">
        <v>282</v>
      </c>
      <c r="AO121" s="73" t="s">
        <v>284</v>
      </c>
      <c r="AP121" s="68" t="b">
        <v>0</v>
      </c>
      <c r="AQ121" s="73" t="s">
        <v>934</v>
      </c>
      <c r="AR121" s="68" t="s">
        <v>218</v>
      </c>
      <c r="AS121" s="68">
        <v>0</v>
      </c>
      <c r="AT121" s="68">
        <v>0</v>
      </c>
      <c r="AU121" s="68"/>
      <c r="AV121" s="68"/>
      <c r="AW121" s="68"/>
      <c r="AX121" s="68"/>
      <c r="AY121" s="68"/>
      <c r="AZ121" s="68"/>
      <c r="BA121" s="68"/>
      <c r="BB121" s="68"/>
      <c r="BC121" s="68">
        <v>1</v>
      </c>
      <c r="BD121" s="67" t="str">
        <f>REPLACE(INDEX(GroupVertices[Group],MATCH(Edges[[#This Row],[Vertex 1]],GroupVertices[Vertex],0)),1,1,"")</f>
        <v>2</v>
      </c>
      <c r="BE121" s="67" t="str">
        <f>REPLACE(INDEX(GroupVertices[Group],MATCH(Edges[[#This Row],[Vertex 2]],GroupVertices[Vertex],0)),1,1,"")</f>
        <v>2</v>
      </c>
      <c r="BF121" s="49">
        <v>0</v>
      </c>
      <c r="BG121" s="50">
        <v>0</v>
      </c>
      <c r="BH121" s="49">
        <v>0</v>
      </c>
      <c r="BI121" s="50">
        <v>0</v>
      </c>
      <c r="BJ121" s="49">
        <v>0</v>
      </c>
      <c r="BK121" s="50">
        <v>0</v>
      </c>
      <c r="BL121" s="49">
        <v>35</v>
      </c>
      <c r="BM121" s="50">
        <v>100</v>
      </c>
      <c r="BN121" s="49">
        <v>35</v>
      </c>
    </row>
    <row r="122" spans="1:66" ht="15">
      <c r="A122" s="66" t="s">
        <v>258</v>
      </c>
      <c r="B122" s="66" t="s">
        <v>261</v>
      </c>
      <c r="C122" s="84" t="s">
        <v>538</v>
      </c>
      <c r="D122" s="94">
        <v>5</v>
      </c>
      <c r="E122" s="84"/>
      <c r="F122" s="96">
        <v>50</v>
      </c>
      <c r="G122" s="84"/>
      <c r="H122" s="82"/>
      <c r="I122" s="97"/>
      <c r="J122" s="97"/>
      <c r="K122" s="35" t="s">
        <v>65</v>
      </c>
      <c r="L122" s="98">
        <v>122</v>
      </c>
      <c r="M122" s="98"/>
      <c r="N122" s="99"/>
      <c r="O122" s="68" t="s">
        <v>263</v>
      </c>
      <c r="P122" s="70">
        <v>44699.107719907406</v>
      </c>
      <c r="Q122" s="68" t="s">
        <v>267</v>
      </c>
      <c r="R122"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22" s="68" t="s">
        <v>270</v>
      </c>
      <c r="T122" s="73" t="s">
        <v>271</v>
      </c>
      <c r="U122" s="68"/>
      <c r="V122" s="72" t="str">
        <f>HYPERLINK("https://pbs.twimg.com/profile_images/1288654635125760000/Sd4jIIxW_normal.jpg")</f>
        <v>https://pbs.twimg.com/profile_images/1288654635125760000/Sd4jIIxW_normal.jpg</v>
      </c>
      <c r="W122" s="70">
        <v>44699.107719907406</v>
      </c>
      <c r="X122" s="75">
        <v>44699</v>
      </c>
      <c r="Y122" s="73" t="s">
        <v>274</v>
      </c>
      <c r="Z122" s="72" t="str">
        <f>HYPERLINK("https://twitter.com/auepochtimes/status/1526753216859365377")</f>
        <v>https://twitter.com/auepochtimes/status/1526753216859365377</v>
      </c>
      <c r="AA122" s="68"/>
      <c r="AB122" s="68"/>
      <c r="AC122" s="73" t="s">
        <v>279</v>
      </c>
      <c r="AD122" s="68"/>
      <c r="AE122" s="68" t="b">
        <v>0</v>
      </c>
      <c r="AF122" s="68">
        <v>1</v>
      </c>
      <c r="AG122" s="73" t="s">
        <v>282</v>
      </c>
      <c r="AH122" s="68" t="b">
        <v>0</v>
      </c>
      <c r="AI122" s="68" t="s">
        <v>283</v>
      </c>
      <c r="AJ122" s="68"/>
      <c r="AK122" s="73" t="s">
        <v>282</v>
      </c>
      <c r="AL122" s="68" t="b">
        <v>0</v>
      </c>
      <c r="AM122" s="68">
        <v>2</v>
      </c>
      <c r="AN122" s="73" t="s">
        <v>282</v>
      </c>
      <c r="AO122" s="73" t="s">
        <v>286</v>
      </c>
      <c r="AP122" s="68" t="b">
        <v>0</v>
      </c>
      <c r="AQ122" s="73" t="s">
        <v>279</v>
      </c>
      <c r="AR122" s="68" t="s">
        <v>218</v>
      </c>
      <c r="AS122" s="68">
        <v>0</v>
      </c>
      <c r="AT122" s="68">
        <v>0</v>
      </c>
      <c r="AU122" s="68"/>
      <c r="AV122" s="68"/>
      <c r="AW122" s="68"/>
      <c r="AX122" s="68"/>
      <c r="AY122" s="68"/>
      <c r="AZ122" s="68"/>
      <c r="BA122" s="68"/>
      <c r="BB122" s="68"/>
      <c r="BC122" s="68">
        <v>1</v>
      </c>
      <c r="BD122" s="67" t="str">
        <f>REPLACE(INDEX(GroupVertices[Group],MATCH(Edges[[#This Row],[Vertex 1]],GroupVertices[Vertex],0)),1,1,"")</f>
        <v>9</v>
      </c>
      <c r="BE122" s="67" t="str">
        <f>REPLACE(INDEX(GroupVertices[Group],MATCH(Edges[[#This Row],[Vertex 2]],GroupVertices[Vertex],0)),1,1,"")</f>
        <v>9</v>
      </c>
      <c r="BF122" s="49">
        <v>0</v>
      </c>
      <c r="BG122" s="50">
        <v>0</v>
      </c>
      <c r="BH122" s="49">
        <v>1</v>
      </c>
      <c r="BI122" s="50">
        <v>2.7027027027027026</v>
      </c>
      <c r="BJ122" s="49">
        <v>0</v>
      </c>
      <c r="BK122" s="50">
        <v>0</v>
      </c>
      <c r="BL122" s="49">
        <v>36</v>
      </c>
      <c r="BM122" s="50">
        <v>97.29729729729729</v>
      </c>
      <c r="BN122" s="49">
        <v>37</v>
      </c>
    </row>
    <row r="123" spans="1:66" ht="15">
      <c r="A123" s="66" t="s">
        <v>259</v>
      </c>
      <c r="B123" s="66" t="s">
        <v>261</v>
      </c>
      <c r="C123" s="84" t="s">
        <v>538</v>
      </c>
      <c r="D123" s="94">
        <v>5</v>
      </c>
      <c r="E123" s="84"/>
      <c r="F123" s="96">
        <v>50</v>
      </c>
      <c r="G123" s="84"/>
      <c r="H123" s="82"/>
      <c r="I123" s="97"/>
      <c r="J123" s="97"/>
      <c r="K123" s="35" t="s">
        <v>65</v>
      </c>
      <c r="L123" s="98">
        <v>123</v>
      </c>
      <c r="M123" s="98"/>
      <c r="N123" s="99"/>
      <c r="O123" s="68" t="s">
        <v>264</v>
      </c>
      <c r="P123" s="70">
        <v>44699.11189814815</v>
      </c>
      <c r="Q123" s="68" t="s">
        <v>267</v>
      </c>
      <c r="R123"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23" s="68" t="s">
        <v>270</v>
      </c>
      <c r="T123" s="73" t="s">
        <v>271</v>
      </c>
      <c r="U123" s="68"/>
      <c r="V123" s="72" t="str">
        <f>HYPERLINK("https://pbs.twimg.com/profile_images/1094681472160673792/mqK_dabr_normal.jpg")</f>
        <v>https://pbs.twimg.com/profile_images/1094681472160673792/mqK_dabr_normal.jpg</v>
      </c>
      <c r="W123" s="70">
        <v>44699.11189814815</v>
      </c>
      <c r="X123" s="75">
        <v>44699</v>
      </c>
      <c r="Y123" s="73" t="s">
        <v>275</v>
      </c>
      <c r="Z123" s="72" t="str">
        <f>HYPERLINK("https://twitter.com/kjusticemotors/status/1526754733293199362")</f>
        <v>https://twitter.com/kjusticemotors/status/1526754733293199362</v>
      </c>
      <c r="AA123" s="68"/>
      <c r="AB123" s="68"/>
      <c r="AC123" s="73" t="s">
        <v>280</v>
      </c>
      <c r="AD123" s="68"/>
      <c r="AE123" s="68" t="b">
        <v>0</v>
      </c>
      <c r="AF123" s="68">
        <v>0</v>
      </c>
      <c r="AG123" s="73" t="s">
        <v>282</v>
      </c>
      <c r="AH123" s="68" t="b">
        <v>0</v>
      </c>
      <c r="AI123" s="68" t="s">
        <v>283</v>
      </c>
      <c r="AJ123" s="68"/>
      <c r="AK123" s="73" t="s">
        <v>282</v>
      </c>
      <c r="AL123" s="68" t="b">
        <v>0</v>
      </c>
      <c r="AM123" s="68">
        <v>2</v>
      </c>
      <c r="AN123" s="73" t="s">
        <v>279</v>
      </c>
      <c r="AO123" s="73" t="s">
        <v>284</v>
      </c>
      <c r="AP123" s="68" t="b">
        <v>0</v>
      </c>
      <c r="AQ123" s="73" t="s">
        <v>279</v>
      </c>
      <c r="AR123" s="68" t="s">
        <v>218</v>
      </c>
      <c r="AS123" s="68">
        <v>0</v>
      </c>
      <c r="AT123" s="68">
        <v>0</v>
      </c>
      <c r="AU123" s="68"/>
      <c r="AV123" s="68"/>
      <c r="AW123" s="68"/>
      <c r="AX123" s="68"/>
      <c r="AY123" s="68"/>
      <c r="AZ123" s="68"/>
      <c r="BA123" s="68"/>
      <c r="BB123" s="68"/>
      <c r="BC123" s="68">
        <v>1</v>
      </c>
      <c r="BD123" s="67" t="str">
        <f>REPLACE(INDEX(GroupVertices[Group],MATCH(Edges[[#This Row],[Vertex 1]],GroupVertices[Vertex],0)),1,1,"")</f>
        <v>9</v>
      </c>
      <c r="BE123" s="67" t="str">
        <f>REPLACE(INDEX(GroupVertices[Group],MATCH(Edges[[#This Row],[Vertex 2]],GroupVertices[Vertex],0)),1,1,"")</f>
        <v>9</v>
      </c>
      <c r="BF123" s="49"/>
      <c r="BG123" s="50"/>
      <c r="BH123" s="49"/>
      <c r="BI123" s="50"/>
      <c r="BJ123" s="49"/>
      <c r="BK123" s="50"/>
      <c r="BL123" s="49"/>
      <c r="BM123" s="50"/>
      <c r="BN123" s="49"/>
    </row>
    <row r="124" spans="1:66" ht="15">
      <c r="A124" s="66" t="s">
        <v>259</v>
      </c>
      <c r="B124" s="66" t="s">
        <v>258</v>
      </c>
      <c r="C124" s="84" t="s">
        <v>538</v>
      </c>
      <c r="D124" s="94">
        <v>5</v>
      </c>
      <c r="E124" s="84"/>
      <c r="F124" s="96">
        <v>50</v>
      </c>
      <c r="G124" s="84"/>
      <c r="H124" s="82"/>
      <c r="I124" s="97"/>
      <c r="J124" s="97"/>
      <c r="K124" s="35" t="s">
        <v>65</v>
      </c>
      <c r="L124" s="98">
        <v>124</v>
      </c>
      <c r="M124" s="98"/>
      <c r="N124" s="99"/>
      <c r="O124" s="68" t="s">
        <v>262</v>
      </c>
      <c r="P124" s="70">
        <v>44699.11189814815</v>
      </c>
      <c r="Q124" s="68" t="s">
        <v>267</v>
      </c>
      <c r="R124"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24" s="68" t="s">
        <v>270</v>
      </c>
      <c r="T124" s="73" t="s">
        <v>271</v>
      </c>
      <c r="U124" s="68"/>
      <c r="V124" s="72" t="str">
        <f>HYPERLINK("https://pbs.twimg.com/profile_images/1094681472160673792/mqK_dabr_normal.jpg")</f>
        <v>https://pbs.twimg.com/profile_images/1094681472160673792/mqK_dabr_normal.jpg</v>
      </c>
      <c r="W124" s="70">
        <v>44699.11189814815</v>
      </c>
      <c r="X124" s="75">
        <v>44699</v>
      </c>
      <c r="Y124" s="73" t="s">
        <v>275</v>
      </c>
      <c r="Z124" s="72" t="str">
        <f>HYPERLINK("https://twitter.com/kjusticemotors/status/1526754733293199362")</f>
        <v>https://twitter.com/kjusticemotors/status/1526754733293199362</v>
      </c>
      <c r="AA124" s="68"/>
      <c r="AB124" s="68"/>
      <c r="AC124" s="73" t="s">
        <v>280</v>
      </c>
      <c r="AD124" s="68"/>
      <c r="AE124" s="68" t="b">
        <v>0</v>
      </c>
      <c r="AF124" s="68">
        <v>0</v>
      </c>
      <c r="AG124" s="73" t="s">
        <v>282</v>
      </c>
      <c r="AH124" s="68" t="b">
        <v>0</v>
      </c>
      <c r="AI124" s="68" t="s">
        <v>283</v>
      </c>
      <c r="AJ124" s="68"/>
      <c r="AK124" s="73" t="s">
        <v>282</v>
      </c>
      <c r="AL124" s="68" t="b">
        <v>0</v>
      </c>
      <c r="AM124" s="68">
        <v>2</v>
      </c>
      <c r="AN124" s="73" t="s">
        <v>279</v>
      </c>
      <c r="AO124" s="73" t="s">
        <v>284</v>
      </c>
      <c r="AP124" s="68" t="b">
        <v>0</v>
      </c>
      <c r="AQ124" s="73" t="s">
        <v>279</v>
      </c>
      <c r="AR124" s="68" t="s">
        <v>218</v>
      </c>
      <c r="AS124" s="68">
        <v>0</v>
      </c>
      <c r="AT124" s="68">
        <v>0</v>
      </c>
      <c r="AU124" s="68"/>
      <c r="AV124" s="68"/>
      <c r="AW124" s="68"/>
      <c r="AX124" s="68"/>
      <c r="AY124" s="68"/>
      <c r="AZ124" s="68"/>
      <c r="BA124" s="68"/>
      <c r="BB124" s="68"/>
      <c r="BC124" s="68">
        <v>1</v>
      </c>
      <c r="BD124" s="67" t="str">
        <f>REPLACE(INDEX(GroupVertices[Group],MATCH(Edges[[#This Row],[Vertex 1]],GroupVertices[Vertex],0)),1,1,"")</f>
        <v>9</v>
      </c>
      <c r="BE124" s="67" t="str">
        <f>REPLACE(INDEX(GroupVertices[Group],MATCH(Edges[[#This Row],[Vertex 2]],GroupVertices[Vertex],0)),1,1,"")</f>
        <v>9</v>
      </c>
      <c r="BF124" s="49">
        <v>0</v>
      </c>
      <c r="BG124" s="50">
        <v>0</v>
      </c>
      <c r="BH124" s="49">
        <v>1</v>
      </c>
      <c r="BI124" s="50">
        <v>2.7027027027027026</v>
      </c>
      <c r="BJ124" s="49">
        <v>0</v>
      </c>
      <c r="BK124" s="50">
        <v>0</v>
      </c>
      <c r="BL124" s="49">
        <v>36</v>
      </c>
      <c r="BM124" s="50">
        <v>97.29729729729729</v>
      </c>
      <c r="BN124" s="49">
        <v>37</v>
      </c>
    </row>
    <row r="125" spans="1:66" ht="15">
      <c r="A125" s="66" t="s">
        <v>633</v>
      </c>
      <c r="B125" s="66" t="s">
        <v>633</v>
      </c>
      <c r="C125" s="84" t="s">
        <v>538</v>
      </c>
      <c r="D125" s="94">
        <v>5</v>
      </c>
      <c r="E125" s="84"/>
      <c r="F125" s="96">
        <v>50</v>
      </c>
      <c r="G125" s="84"/>
      <c r="H125" s="82"/>
      <c r="I125" s="97"/>
      <c r="J125" s="97"/>
      <c r="K125" s="35" t="s">
        <v>65</v>
      </c>
      <c r="L125" s="98">
        <v>125</v>
      </c>
      <c r="M125" s="98"/>
      <c r="N125" s="99"/>
      <c r="O125" s="68" t="s">
        <v>218</v>
      </c>
      <c r="P125" s="70">
        <v>44699.156793981485</v>
      </c>
      <c r="Q125" s="68" t="s">
        <v>694</v>
      </c>
      <c r="R125" s="72" t="str">
        <f>HYPERLINK("https://twn.my/title2/susagri/2022/sa979.htm")</f>
        <v>https://twn.my/title2/susagri/2022/sa979.htm</v>
      </c>
      <c r="S125" s="68" t="s">
        <v>707</v>
      </c>
      <c r="T125" s="73" t="s">
        <v>721</v>
      </c>
      <c r="U125" s="72" t="str">
        <f>HYPERLINK("https://pbs.twimg.com/media/FTAuHjMaQAAG43f.jpg")</f>
        <v>https://pbs.twimg.com/media/FTAuHjMaQAAG43f.jpg</v>
      </c>
      <c r="V125" s="72" t="str">
        <f>HYPERLINK("https://pbs.twimg.com/media/FTAuHjMaQAAG43f.jpg")</f>
        <v>https://pbs.twimg.com/media/FTAuHjMaQAAG43f.jpg</v>
      </c>
      <c r="W125" s="70">
        <v>44699.156793981485</v>
      </c>
      <c r="X125" s="75">
        <v>44699</v>
      </c>
      <c r="Y125" s="73" t="s">
        <v>821</v>
      </c>
      <c r="Z125" s="72" t="str">
        <f>HYPERLINK("https://twitter.com/3rdworldnetwork/status/1526771002604425216")</f>
        <v>https://twitter.com/3rdworldnetwork/status/1526771002604425216</v>
      </c>
      <c r="AA125" s="68"/>
      <c r="AB125" s="68"/>
      <c r="AC125" s="73" t="s">
        <v>924</v>
      </c>
      <c r="AD125" s="68"/>
      <c r="AE125" s="68" t="b">
        <v>0</v>
      </c>
      <c r="AF125" s="68">
        <v>2</v>
      </c>
      <c r="AG125" s="73" t="s">
        <v>282</v>
      </c>
      <c r="AH125" s="68" t="b">
        <v>0</v>
      </c>
      <c r="AI125" s="68" t="s">
        <v>283</v>
      </c>
      <c r="AJ125" s="68"/>
      <c r="AK125" s="73" t="s">
        <v>282</v>
      </c>
      <c r="AL125" s="68" t="b">
        <v>0</v>
      </c>
      <c r="AM125" s="68">
        <v>0</v>
      </c>
      <c r="AN125" s="73" t="s">
        <v>282</v>
      </c>
      <c r="AO125" s="73" t="s">
        <v>285</v>
      </c>
      <c r="AP125" s="68" t="b">
        <v>0</v>
      </c>
      <c r="AQ125" s="73" t="s">
        <v>924</v>
      </c>
      <c r="AR125" s="68" t="s">
        <v>218</v>
      </c>
      <c r="AS125" s="68">
        <v>0</v>
      </c>
      <c r="AT125" s="68">
        <v>0</v>
      </c>
      <c r="AU125" s="68"/>
      <c r="AV125" s="68"/>
      <c r="AW125" s="68"/>
      <c r="AX125" s="68"/>
      <c r="AY125" s="68"/>
      <c r="AZ125" s="68"/>
      <c r="BA125" s="68"/>
      <c r="BB125" s="68"/>
      <c r="BC125" s="68">
        <v>1</v>
      </c>
      <c r="BD125" s="67" t="str">
        <f>REPLACE(INDEX(GroupVertices[Group],MATCH(Edges[[#This Row],[Vertex 1]],GroupVertices[Vertex],0)),1,1,"")</f>
        <v>2</v>
      </c>
      <c r="BE125" s="67" t="str">
        <f>REPLACE(INDEX(GroupVertices[Group],MATCH(Edges[[#This Row],[Vertex 2]],GroupVertices[Vertex],0)),1,1,"")</f>
        <v>2</v>
      </c>
      <c r="BF125" s="49">
        <v>0</v>
      </c>
      <c r="BG125" s="50">
        <v>0</v>
      </c>
      <c r="BH125" s="49">
        <v>0</v>
      </c>
      <c r="BI125" s="50">
        <v>0</v>
      </c>
      <c r="BJ125" s="49">
        <v>0</v>
      </c>
      <c r="BK125" s="50">
        <v>0</v>
      </c>
      <c r="BL125" s="49">
        <v>42</v>
      </c>
      <c r="BM125" s="50">
        <v>100</v>
      </c>
      <c r="BN125" s="49">
        <v>42</v>
      </c>
    </row>
    <row r="126" spans="1:66" ht="15">
      <c r="A126" s="66" t="s">
        <v>634</v>
      </c>
      <c r="B126" s="66" t="s">
        <v>634</v>
      </c>
      <c r="C126" s="84" t="s">
        <v>538</v>
      </c>
      <c r="D126" s="94">
        <v>5</v>
      </c>
      <c r="E126" s="84"/>
      <c r="F126" s="96">
        <v>50</v>
      </c>
      <c r="G126" s="84"/>
      <c r="H126" s="82"/>
      <c r="I126" s="97"/>
      <c r="J126" s="97"/>
      <c r="K126" s="35" t="s">
        <v>65</v>
      </c>
      <c r="L126" s="98">
        <v>126</v>
      </c>
      <c r="M126" s="98"/>
      <c r="N126" s="99"/>
      <c r="O126" s="68" t="s">
        <v>218</v>
      </c>
      <c r="P126" s="70">
        <v>44699.89498842593</v>
      </c>
      <c r="Q126" s="68" t="s">
        <v>695</v>
      </c>
      <c r="R126" s="68"/>
      <c r="S126" s="68"/>
      <c r="T126" s="68"/>
      <c r="U126" s="72" t="str">
        <f>HYPERLINK("https://pbs.twimg.com/media/FTEhbaaakAEsJAo.jpg")</f>
        <v>https://pbs.twimg.com/media/FTEhbaaakAEsJAo.jpg</v>
      </c>
      <c r="V126" s="72" t="str">
        <f>HYPERLINK("https://pbs.twimg.com/media/FTEhbaaakAEsJAo.jpg")</f>
        <v>https://pbs.twimg.com/media/FTEhbaaakAEsJAo.jpg</v>
      </c>
      <c r="W126" s="70">
        <v>44699.89498842593</v>
      </c>
      <c r="X126" s="75">
        <v>44699</v>
      </c>
      <c r="Y126" s="73" t="s">
        <v>822</v>
      </c>
      <c r="Z126" s="72" t="str">
        <f>HYPERLINK("https://twitter.com/vheeringa/status/1527038515871363072")</f>
        <v>https://twitter.com/vheeringa/status/1527038515871363072</v>
      </c>
      <c r="AA126" s="68"/>
      <c r="AB126" s="68"/>
      <c r="AC126" s="73" t="s">
        <v>925</v>
      </c>
      <c r="AD126" s="68"/>
      <c r="AE126" s="68" t="b">
        <v>0</v>
      </c>
      <c r="AF126" s="68">
        <v>4</v>
      </c>
      <c r="AG126" s="73" t="s">
        <v>282</v>
      </c>
      <c r="AH126" s="68" t="b">
        <v>0</v>
      </c>
      <c r="AI126" s="68" t="s">
        <v>283</v>
      </c>
      <c r="AJ126" s="68"/>
      <c r="AK126" s="73" t="s">
        <v>282</v>
      </c>
      <c r="AL126" s="68" t="b">
        <v>0</v>
      </c>
      <c r="AM126" s="68">
        <v>0</v>
      </c>
      <c r="AN126" s="73" t="s">
        <v>282</v>
      </c>
      <c r="AO126" s="73" t="s">
        <v>284</v>
      </c>
      <c r="AP126" s="68" t="b">
        <v>0</v>
      </c>
      <c r="AQ126" s="73" t="s">
        <v>925</v>
      </c>
      <c r="AR126" s="68" t="s">
        <v>218</v>
      </c>
      <c r="AS126" s="68">
        <v>0</v>
      </c>
      <c r="AT126" s="68">
        <v>0</v>
      </c>
      <c r="AU126" s="68"/>
      <c r="AV126" s="68"/>
      <c r="AW126" s="68"/>
      <c r="AX126" s="68"/>
      <c r="AY126" s="68"/>
      <c r="AZ126" s="68"/>
      <c r="BA126" s="68"/>
      <c r="BB126" s="68"/>
      <c r="BC126" s="68">
        <v>1</v>
      </c>
      <c r="BD126" s="67" t="str">
        <f>REPLACE(INDEX(GroupVertices[Group],MATCH(Edges[[#This Row],[Vertex 1]],GroupVertices[Vertex],0)),1,1,"")</f>
        <v>2</v>
      </c>
      <c r="BE126" s="67" t="str">
        <f>REPLACE(INDEX(GroupVertices[Group],MATCH(Edges[[#This Row],[Vertex 2]],GroupVertices[Vertex],0)),1,1,"")</f>
        <v>2</v>
      </c>
      <c r="BF126" s="49">
        <v>0</v>
      </c>
      <c r="BG126" s="50">
        <v>0</v>
      </c>
      <c r="BH126" s="49">
        <v>0</v>
      </c>
      <c r="BI126" s="50">
        <v>0</v>
      </c>
      <c r="BJ126" s="49">
        <v>0</v>
      </c>
      <c r="BK126" s="50">
        <v>0</v>
      </c>
      <c r="BL126" s="49">
        <v>4</v>
      </c>
      <c r="BM126" s="50">
        <v>100</v>
      </c>
      <c r="BN126" s="49">
        <v>4</v>
      </c>
    </row>
    <row r="127" spans="1:66" ht="15">
      <c r="A127" s="66" t="s">
        <v>635</v>
      </c>
      <c r="B127" s="66" t="s">
        <v>635</v>
      </c>
      <c r="C127" s="84" t="s">
        <v>538</v>
      </c>
      <c r="D127" s="94">
        <v>5</v>
      </c>
      <c r="E127" s="84"/>
      <c r="F127" s="96">
        <v>50</v>
      </c>
      <c r="G127" s="84"/>
      <c r="H127" s="82"/>
      <c r="I127" s="97"/>
      <c r="J127" s="97"/>
      <c r="K127" s="35" t="s">
        <v>65</v>
      </c>
      <c r="L127" s="98">
        <v>127</v>
      </c>
      <c r="M127" s="98"/>
      <c r="N127" s="99"/>
      <c r="O127" s="68" t="s">
        <v>218</v>
      </c>
      <c r="P127" s="70">
        <v>44699.965208333335</v>
      </c>
      <c r="Q127" s="68" t="s">
        <v>696</v>
      </c>
      <c r="R127" s="72" t="str">
        <f>HYPERLINK("https://edairynews.com/en/?p=106818")</f>
        <v>https://edairynews.com/en/?p=106818</v>
      </c>
      <c r="S127" s="68" t="s">
        <v>708</v>
      </c>
      <c r="T127" s="68"/>
      <c r="U127" s="72" t="str">
        <f>HYPERLINK("https://pbs.twimg.com/media/FTE4lE4XEAEbwR7.jpg")</f>
        <v>https://pbs.twimg.com/media/FTE4lE4XEAEbwR7.jpg</v>
      </c>
      <c r="V127" s="72" t="str">
        <f>HYPERLINK("https://pbs.twimg.com/media/FTE4lE4XEAEbwR7.jpg")</f>
        <v>https://pbs.twimg.com/media/FTE4lE4XEAEbwR7.jpg</v>
      </c>
      <c r="W127" s="70">
        <v>44699.965208333335</v>
      </c>
      <c r="X127" s="75">
        <v>44699</v>
      </c>
      <c r="Y127" s="73" t="s">
        <v>823</v>
      </c>
      <c r="Z127" s="72" t="str">
        <f>HYPERLINK("https://twitter.com/edairynews/status/1527063959697760256")</f>
        <v>https://twitter.com/edairynews/status/1527063959697760256</v>
      </c>
      <c r="AA127" s="68"/>
      <c r="AB127" s="68"/>
      <c r="AC127" s="73" t="s">
        <v>926</v>
      </c>
      <c r="AD127" s="68"/>
      <c r="AE127" s="68" t="b">
        <v>0</v>
      </c>
      <c r="AF127" s="68">
        <v>0</v>
      </c>
      <c r="AG127" s="73" t="s">
        <v>282</v>
      </c>
      <c r="AH127" s="68" t="b">
        <v>0</v>
      </c>
      <c r="AI127" s="68" t="s">
        <v>283</v>
      </c>
      <c r="AJ127" s="68"/>
      <c r="AK127" s="73" t="s">
        <v>282</v>
      </c>
      <c r="AL127" s="68" t="b">
        <v>0</v>
      </c>
      <c r="AM127" s="68">
        <v>0</v>
      </c>
      <c r="AN127" s="73" t="s">
        <v>282</v>
      </c>
      <c r="AO127" s="73" t="s">
        <v>956</v>
      </c>
      <c r="AP127" s="68" t="b">
        <v>0</v>
      </c>
      <c r="AQ127" s="73" t="s">
        <v>926</v>
      </c>
      <c r="AR127" s="68" t="s">
        <v>218</v>
      </c>
      <c r="AS127" s="68">
        <v>0</v>
      </c>
      <c r="AT127" s="68">
        <v>0</v>
      </c>
      <c r="AU127" s="68"/>
      <c r="AV127" s="68"/>
      <c r="AW127" s="68"/>
      <c r="AX127" s="68"/>
      <c r="AY127" s="68"/>
      <c r="AZ127" s="68"/>
      <c r="BA127" s="68"/>
      <c r="BB127" s="68"/>
      <c r="BC127" s="68">
        <v>1</v>
      </c>
      <c r="BD127" s="67" t="str">
        <f>REPLACE(INDEX(GroupVertices[Group],MATCH(Edges[[#This Row],[Vertex 1]],GroupVertices[Vertex],0)),1,1,"")</f>
        <v>2</v>
      </c>
      <c r="BE127" s="67" t="str">
        <f>REPLACE(INDEX(GroupVertices[Group],MATCH(Edges[[#This Row],[Vertex 2]],GroupVertices[Vertex],0)),1,1,"")</f>
        <v>2</v>
      </c>
      <c r="BF127" s="49">
        <v>0</v>
      </c>
      <c r="BG127" s="50">
        <v>0</v>
      </c>
      <c r="BH127" s="49">
        <v>0</v>
      </c>
      <c r="BI127" s="50">
        <v>0</v>
      </c>
      <c r="BJ127" s="49">
        <v>0</v>
      </c>
      <c r="BK127" s="50">
        <v>0</v>
      </c>
      <c r="BL127" s="49">
        <v>15</v>
      </c>
      <c r="BM127" s="50">
        <v>100</v>
      </c>
      <c r="BN127" s="49">
        <v>15</v>
      </c>
    </row>
    <row r="128" spans="1:66" ht="15">
      <c r="A128" s="66" t="s">
        <v>636</v>
      </c>
      <c r="B128" s="66" t="s">
        <v>636</v>
      </c>
      <c r="C128" s="84" t="s">
        <v>538</v>
      </c>
      <c r="D128" s="94">
        <v>5</v>
      </c>
      <c r="E128" s="84"/>
      <c r="F128" s="96">
        <v>50</v>
      </c>
      <c r="G128" s="84"/>
      <c r="H128" s="82"/>
      <c r="I128" s="97"/>
      <c r="J128" s="97"/>
      <c r="K128" s="35" t="s">
        <v>65</v>
      </c>
      <c r="L128" s="98">
        <v>128</v>
      </c>
      <c r="M128" s="98"/>
      <c r="N128" s="99"/>
      <c r="O128" s="68" t="s">
        <v>218</v>
      </c>
      <c r="P128" s="70">
        <v>44700.037627314814</v>
      </c>
      <c r="Q128" s="68" t="s">
        <v>697</v>
      </c>
      <c r="R128" s="72" t="str">
        <f>HYPERLINK("https://drivinginsights.co.nz/fleet-management/planning-your-electric-fleet/")</f>
        <v>https://drivinginsights.co.nz/fleet-management/planning-your-electric-fleet/</v>
      </c>
      <c r="S128" s="68" t="s">
        <v>269</v>
      </c>
      <c r="T128" s="73" t="s">
        <v>722</v>
      </c>
      <c r="U128" s="68"/>
      <c r="V128" s="72" t="str">
        <f>HYPERLINK("https://pbs.twimg.com/profile_images/1505759543875469319/53u_4sa6_normal.png")</f>
        <v>https://pbs.twimg.com/profile_images/1505759543875469319/53u_4sa6_normal.png</v>
      </c>
      <c r="W128" s="70">
        <v>44700.037627314814</v>
      </c>
      <c r="X128" s="75">
        <v>44700</v>
      </c>
      <c r="Y128" s="73" t="s">
        <v>824</v>
      </c>
      <c r="Z128" s="72" t="str">
        <f>HYPERLINK("https://twitter.com/insights_nz/status/1527090204779368448")</f>
        <v>https://twitter.com/insights_nz/status/1527090204779368448</v>
      </c>
      <c r="AA128" s="68"/>
      <c r="AB128" s="68"/>
      <c r="AC128" s="73" t="s">
        <v>927</v>
      </c>
      <c r="AD128" s="68"/>
      <c r="AE128" s="68" t="b">
        <v>0</v>
      </c>
      <c r="AF128" s="68">
        <v>1</v>
      </c>
      <c r="AG128" s="73" t="s">
        <v>282</v>
      </c>
      <c r="AH128" s="68" t="b">
        <v>0</v>
      </c>
      <c r="AI128" s="68" t="s">
        <v>283</v>
      </c>
      <c r="AJ128" s="68"/>
      <c r="AK128" s="73" t="s">
        <v>282</v>
      </c>
      <c r="AL128" s="68" t="b">
        <v>0</v>
      </c>
      <c r="AM128" s="68">
        <v>0</v>
      </c>
      <c r="AN128" s="73" t="s">
        <v>282</v>
      </c>
      <c r="AO128" s="73" t="s">
        <v>285</v>
      </c>
      <c r="AP128" s="68" t="b">
        <v>0</v>
      </c>
      <c r="AQ128" s="73" t="s">
        <v>927</v>
      </c>
      <c r="AR128" s="68" t="s">
        <v>218</v>
      </c>
      <c r="AS128" s="68">
        <v>0</v>
      </c>
      <c r="AT128" s="68">
        <v>0</v>
      </c>
      <c r="AU128" s="68"/>
      <c r="AV128" s="68"/>
      <c r="AW128" s="68"/>
      <c r="AX128" s="68"/>
      <c r="AY128" s="68"/>
      <c r="AZ128" s="68"/>
      <c r="BA128" s="68"/>
      <c r="BB128" s="68"/>
      <c r="BC128" s="68">
        <v>1</v>
      </c>
      <c r="BD128" s="67" t="str">
        <f>REPLACE(INDEX(GroupVertices[Group],MATCH(Edges[[#This Row],[Vertex 1]],GroupVertices[Vertex],0)),1,1,"")</f>
        <v>2</v>
      </c>
      <c r="BE128" s="67" t="str">
        <f>REPLACE(INDEX(GroupVertices[Group],MATCH(Edges[[#This Row],[Vertex 2]],GroupVertices[Vertex],0)),1,1,"")</f>
        <v>2</v>
      </c>
      <c r="BF128" s="49">
        <v>1</v>
      </c>
      <c r="BG128" s="50">
        <v>2.6315789473684212</v>
      </c>
      <c r="BH128" s="49">
        <v>0</v>
      </c>
      <c r="BI128" s="50">
        <v>0</v>
      </c>
      <c r="BJ128" s="49">
        <v>0</v>
      </c>
      <c r="BK128" s="50">
        <v>0</v>
      </c>
      <c r="BL128" s="49">
        <v>37</v>
      </c>
      <c r="BM128" s="50">
        <v>97.36842105263158</v>
      </c>
      <c r="BN128"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59D5-513D-482C-9918-E031BECC55B0}">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413</v>
      </c>
      <c r="B2" s="90" t="s">
        <v>414</v>
      </c>
      <c r="C2" s="54" t="s">
        <v>415</v>
      </c>
    </row>
    <row r="3" spans="1:3" ht="15">
      <c r="A3" s="89" t="s">
        <v>340</v>
      </c>
      <c r="B3" s="89" t="s">
        <v>340</v>
      </c>
      <c r="C3" s="35">
        <v>27</v>
      </c>
    </row>
    <row r="4" spans="1:3" ht="15">
      <c r="A4" s="89" t="s">
        <v>341</v>
      </c>
      <c r="B4" s="112" t="s">
        <v>341</v>
      </c>
      <c r="C4" s="35">
        <v>20</v>
      </c>
    </row>
    <row r="5" spans="1:3" ht="15">
      <c r="A5" s="89" t="s">
        <v>342</v>
      </c>
      <c r="B5" s="112" t="s">
        <v>342</v>
      </c>
      <c r="C5" s="35">
        <v>13</v>
      </c>
    </row>
    <row r="6" spans="1:3" ht="15">
      <c r="A6" s="89" t="s">
        <v>1462</v>
      </c>
      <c r="B6" s="112" t="s">
        <v>1462</v>
      </c>
      <c r="C6" s="35">
        <v>10</v>
      </c>
    </row>
    <row r="7" spans="1:3" ht="15">
      <c r="A7" s="89" t="s">
        <v>1463</v>
      </c>
      <c r="B7" s="112" t="s">
        <v>1463</v>
      </c>
      <c r="C7" s="35">
        <v>7</v>
      </c>
    </row>
    <row r="8" spans="1:3" ht="15">
      <c r="A8" s="89" t="s">
        <v>1464</v>
      </c>
      <c r="B8" s="112" t="s">
        <v>1464</v>
      </c>
      <c r="C8" s="35">
        <v>10</v>
      </c>
    </row>
    <row r="9" spans="1:3" ht="15">
      <c r="A9" s="89" t="s">
        <v>1465</v>
      </c>
      <c r="B9" s="112" t="s">
        <v>1465</v>
      </c>
      <c r="C9" s="35">
        <v>8</v>
      </c>
    </row>
    <row r="10" spans="1:3" ht="15">
      <c r="A10" s="89" t="s">
        <v>1466</v>
      </c>
      <c r="B10" s="112" t="s">
        <v>1466</v>
      </c>
      <c r="C10" s="35">
        <v>3</v>
      </c>
    </row>
    <row r="11" spans="1:3" ht="15">
      <c r="A11" s="89" t="s">
        <v>1467</v>
      </c>
      <c r="B11" s="112" t="s">
        <v>1467</v>
      </c>
      <c r="C11" s="35">
        <v>3</v>
      </c>
    </row>
    <row r="12" spans="1:3" ht="15">
      <c r="A12" s="89" t="s">
        <v>1468</v>
      </c>
      <c r="B12" s="112" t="s">
        <v>1468</v>
      </c>
      <c r="C12" s="35">
        <v>2</v>
      </c>
    </row>
    <row r="13" spans="1:3" ht="15">
      <c r="A13" s="89" t="s">
        <v>1469</v>
      </c>
      <c r="B13" s="112" t="s">
        <v>1469</v>
      </c>
      <c r="C13" s="35">
        <v>3</v>
      </c>
    </row>
    <row r="14" spans="1:3" ht="15">
      <c r="A14" s="89" t="s">
        <v>1470</v>
      </c>
      <c r="B14" s="112" t="s">
        <v>1470</v>
      </c>
      <c r="C14" s="35">
        <v>3</v>
      </c>
    </row>
    <row r="15" spans="1:3" ht="15">
      <c r="A15" s="89" t="s">
        <v>1471</v>
      </c>
      <c r="B15" s="112" t="s">
        <v>1471</v>
      </c>
      <c r="C15" s="35">
        <v>3</v>
      </c>
    </row>
    <row r="16" spans="1:3" ht="15">
      <c r="A16" s="89" t="s">
        <v>1472</v>
      </c>
      <c r="B16" s="112" t="s">
        <v>1472</v>
      </c>
      <c r="C16" s="35">
        <v>1</v>
      </c>
    </row>
    <row r="17" spans="1:3" ht="15">
      <c r="A17" s="89" t="s">
        <v>1473</v>
      </c>
      <c r="B17" s="112" t="s">
        <v>1473</v>
      </c>
      <c r="C17" s="35">
        <v>2</v>
      </c>
    </row>
    <row r="18" spans="1:3" ht="15">
      <c r="A18" s="89" t="s">
        <v>1474</v>
      </c>
      <c r="B18" s="112" t="s">
        <v>1474</v>
      </c>
      <c r="C18" s="35">
        <v>1</v>
      </c>
    </row>
    <row r="19" spans="1:3" ht="15">
      <c r="A19" s="89" t="s">
        <v>1475</v>
      </c>
      <c r="B19" s="112" t="s">
        <v>1475</v>
      </c>
      <c r="C19" s="35">
        <v>2</v>
      </c>
    </row>
    <row r="20" spans="1:3" ht="15">
      <c r="A20" s="89" t="s">
        <v>1476</v>
      </c>
      <c r="B20" s="112" t="s">
        <v>1476</v>
      </c>
      <c r="C20" s="35">
        <v>1</v>
      </c>
    </row>
    <row r="21" spans="1:3" ht="15">
      <c r="A21" s="89" t="s">
        <v>1477</v>
      </c>
      <c r="B21" s="112" t="s">
        <v>1477</v>
      </c>
      <c r="C21" s="35">
        <v>1</v>
      </c>
    </row>
    <row r="22" spans="1:3" ht="15">
      <c r="A22" s="89" t="s">
        <v>1478</v>
      </c>
      <c r="B22" s="112" t="s">
        <v>1478</v>
      </c>
      <c r="C22" s="35">
        <v>1</v>
      </c>
    </row>
    <row r="23" spans="1:3" ht="15">
      <c r="A23" s="89" t="s">
        <v>1479</v>
      </c>
      <c r="B23" s="112" t="s">
        <v>1479</v>
      </c>
      <c r="C23" s="35">
        <v>2</v>
      </c>
    </row>
    <row r="24" spans="1:3" ht="15">
      <c r="A24" s="89" t="s">
        <v>1480</v>
      </c>
      <c r="B24" s="112" t="s">
        <v>1480</v>
      </c>
      <c r="C24" s="35">
        <v>1</v>
      </c>
    </row>
    <row r="25" spans="1:3" ht="15">
      <c r="A25" s="113" t="s">
        <v>1481</v>
      </c>
      <c r="B25" s="112" t="s">
        <v>1481</v>
      </c>
      <c r="C2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5C5D-1DC7-475C-A722-871E0E8958D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435</v>
      </c>
      <c r="B1" s="13" t="s">
        <v>17</v>
      </c>
    </row>
    <row r="2" spans="1:2" ht="15">
      <c r="A2" s="67" t="s">
        <v>436</v>
      </c>
      <c r="B2" s="67" t="s">
        <v>442</v>
      </c>
    </row>
    <row r="3" spans="1:2" ht="15">
      <c r="A3" s="68" t="s">
        <v>437</v>
      </c>
      <c r="B3" s="67" t="s">
        <v>443</v>
      </c>
    </row>
    <row r="4" spans="1:2" ht="15">
      <c r="A4" s="68" t="s">
        <v>438</v>
      </c>
      <c r="B4" s="67" t="s">
        <v>444</v>
      </c>
    </row>
    <row r="5" spans="1:2" ht="15">
      <c r="A5" s="68" t="s">
        <v>439</v>
      </c>
      <c r="B5" s="67" t="s">
        <v>445</v>
      </c>
    </row>
    <row r="6" spans="1:2" ht="15">
      <c r="A6" s="68" t="s">
        <v>440</v>
      </c>
      <c r="B6" s="67" t="s">
        <v>446</v>
      </c>
    </row>
    <row r="7" spans="1:2" ht="15">
      <c r="A7" s="68" t="s">
        <v>441</v>
      </c>
      <c r="B7" s="6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0438-1728-42D4-97FF-6AB4E4876423}">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447</v>
      </c>
      <c r="B1" s="13" t="s">
        <v>34</v>
      </c>
    </row>
    <row r="2" spans="1:2" ht="15">
      <c r="A2" s="83" t="s">
        <v>629</v>
      </c>
      <c r="B2" s="67">
        <v>506</v>
      </c>
    </row>
    <row r="3" spans="1:2" ht="15">
      <c r="A3" s="85" t="s">
        <v>625</v>
      </c>
      <c r="B3" s="67">
        <v>132</v>
      </c>
    </row>
    <row r="4" spans="1:2" ht="15">
      <c r="A4" s="85" t="s">
        <v>561</v>
      </c>
      <c r="B4" s="67">
        <v>20</v>
      </c>
    </row>
    <row r="5" spans="1:2" ht="15">
      <c r="A5" s="85" t="s">
        <v>642</v>
      </c>
      <c r="B5" s="67">
        <v>6</v>
      </c>
    </row>
    <row r="6" spans="1:2" ht="15">
      <c r="A6" s="85" t="s">
        <v>603</v>
      </c>
      <c r="B6" s="67">
        <v>6</v>
      </c>
    </row>
    <row r="7" spans="1:2" ht="15">
      <c r="A7" s="85" t="s">
        <v>610</v>
      </c>
      <c r="B7" s="67">
        <v>6</v>
      </c>
    </row>
    <row r="8" spans="1:2" ht="15">
      <c r="A8" s="85" t="s">
        <v>570</v>
      </c>
      <c r="B8" s="67">
        <v>2</v>
      </c>
    </row>
    <row r="9" spans="1:2" ht="15">
      <c r="A9" s="85" t="s">
        <v>631</v>
      </c>
      <c r="B9" s="67">
        <v>2</v>
      </c>
    </row>
    <row r="10" spans="1:2" ht="15">
      <c r="A10" s="85" t="s">
        <v>569</v>
      </c>
      <c r="B10" s="67">
        <v>2</v>
      </c>
    </row>
    <row r="11" spans="1:2" ht="15">
      <c r="A11" s="85" t="s">
        <v>620</v>
      </c>
      <c r="B11" s="67">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285E-E684-4AF6-9E64-23B7189E4436}">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448</v>
      </c>
      <c r="B1" s="13" t="s">
        <v>452</v>
      </c>
      <c r="C1" s="67" t="s">
        <v>453</v>
      </c>
      <c r="D1" s="67" t="s">
        <v>455</v>
      </c>
      <c r="E1" s="13" t="s">
        <v>454</v>
      </c>
      <c r="F1" s="13" t="s">
        <v>457</v>
      </c>
      <c r="G1" s="67" t="s">
        <v>456</v>
      </c>
      <c r="H1" s="67" t="s">
        <v>459</v>
      </c>
      <c r="I1" s="13" t="s">
        <v>458</v>
      </c>
      <c r="J1" s="13" t="s">
        <v>1726</v>
      </c>
      <c r="K1" s="67" t="s">
        <v>1725</v>
      </c>
      <c r="L1" s="67" t="s">
        <v>1728</v>
      </c>
      <c r="M1" s="13" t="s">
        <v>1727</v>
      </c>
      <c r="N1" s="13" t="s">
        <v>1730</v>
      </c>
      <c r="O1" s="67" t="s">
        <v>1729</v>
      </c>
      <c r="P1" s="67" t="s">
        <v>1732</v>
      </c>
      <c r="Q1" s="13" t="s">
        <v>1731</v>
      </c>
      <c r="R1" s="13" t="s">
        <v>1735</v>
      </c>
      <c r="S1" s="13" t="s">
        <v>1734</v>
      </c>
      <c r="T1" s="13" t="s">
        <v>1737</v>
      </c>
      <c r="U1" s="67" t="s">
        <v>1736</v>
      </c>
      <c r="V1" s="67" t="s">
        <v>1738</v>
      </c>
    </row>
    <row r="2" spans="1:22" ht="15">
      <c r="A2" s="71" t="s">
        <v>1708</v>
      </c>
      <c r="B2" s="67">
        <v>7</v>
      </c>
      <c r="C2" s="67"/>
      <c r="D2" s="67"/>
      <c r="E2" s="71" t="s">
        <v>1716</v>
      </c>
      <c r="F2" s="67">
        <v>1</v>
      </c>
      <c r="G2" s="67"/>
      <c r="H2" s="67"/>
      <c r="I2" s="71" t="s">
        <v>1711</v>
      </c>
      <c r="J2" s="67">
        <v>2</v>
      </c>
      <c r="K2" s="67"/>
      <c r="L2" s="67"/>
      <c r="M2" s="71" t="s">
        <v>1708</v>
      </c>
      <c r="N2" s="67">
        <v>5</v>
      </c>
      <c r="O2" s="67"/>
      <c r="P2" s="67"/>
      <c r="Q2" s="71" t="s">
        <v>1733</v>
      </c>
      <c r="R2" s="67">
        <v>1</v>
      </c>
      <c r="S2" s="71" t="s">
        <v>449</v>
      </c>
      <c r="T2" s="67">
        <v>2</v>
      </c>
      <c r="U2" s="67"/>
      <c r="V2" s="67"/>
    </row>
    <row r="3" spans="1:22" ht="15">
      <c r="A3" s="72" t="s">
        <v>1709</v>
      </c>
      <c r="B3" s="67">
        <v>3</v>
      </c>
      <c r="C3" s="67"/>
      <c r="D3" s="67"/>
      <c r="E3" s="71" t="s">
        <v>1717</v>
      </c>
      <c r="F3" s="67">
        <v>1</v>
      </c>
      <c r="G3" s="67"/>
      <c r="H3" s="67"/>
      <c r="I3" s="67"/>
      <c r="J3" s="67"/>
      <c r="K3" s="67"/>
      <c r="L3" s="67"/>
      <c r="M3" s="71" t="s">
        <v>1713</v>
      </c>
      <c r="N3" s="67">
        <v>2</v>
      </c>
      <c r="O3" s="67"/>
      <c r="P3" s="67"/>
      <c r="Q3" s="67"/>
      <c r="R3" s="67"/>
      <c r="S3" s="67"/>
      <c r="T3" s="67"/>
      <c r="U3" s="67"/>
      <c r="V3" s="67"/>
    </row>
    <row r="4" spans="1:22" ht="15">
      <c r="A4" s="72" t="s">
        <v>449</v>
      </c>
      <c r="B4" s="67">
        <v>2</v>
      </c>
      <c r="C4" s="67"/>
      <c r="D4" s="67"/>
      <c r="E4" s="71" t="s">
        <v>1718</v>
      </c>
      <c r="F4" s="67">
        <v>1</v>
      </c>
      <c r="G4" s="67"/>
      <c r="H4" s="67"/>
      <c r="I4" s="67"/>
      <c r="J4" s="67"/>
      <c r="K4" s="67"/>
      <c r="L4" s="67"/>
      <c r="M4" s="67"/>
      <c r="N4" s="67"/>
      <c r="O4" s="67"/>
      <c r="P4" s="67"/>
      <c r="Q4" s="67"/>
      <c r="R4" s="67"/>
      <c r="S4" s="67"/>
      <c r="T4" s="67"/>
      <c r="U4" s="67"/>
      <c r="V4" s="67"/>
    </row>
    <row r="5" spans="1:22" ht="15">
      <c r="A5" s="72" t="s">
        <v>450</v>
      </c>
      <c r="B5" s="67">
        <v>2</v>
      </c>
      <c r="C5" s="67"/>
      <c r="D5" s="67"/>
      <c r="E5" s="71" t="s">
        <v>1719</v>
      </c>
      <c r="F5" s="67">
        <v>1</v>
      </c>
      <c r="G5" s="67"/>
      <c r="H5" s="67"/>
      <c r="I5" s="67"/>
      <c r="J5" s="67"/>
      <c r="K5" s="67"/>
      <c r="L5" s="67"/>
      <c r="M5" s="67"/>
      <c r="N5" s="67"/>
      <c r="O5" s="67"/>
      <c r="P5" s="67"/>
      <c r="Q5" s="67"/>
      <c r="R5" s="67"/>
      <c r="S5" s="67"/>
      <c r="T5" s="67"/>
      <c r="U5" s="67"/>
      <c r="V5" s="67"/>
    </row>
    <row r="6" spans="1:22" ht="15">
      <c r="A6" s="72" t="s">
        <v>1710</v>
      </c>
      <c r="B6" s="67">
        <v>2</v>
      </c>
      <c r="C6" s="67"/>
      <c r="D6" s="67"/>
      <c r="E6" s="71" t="s">
        <v>1720</v>
      </c>
      <c r="F6" s="67">
        <v>1</v>
      </c>
      <c r="G6" s="67"/>
      <c r="H6" s="67"/>
      <c r="I6" s="67"/>
      <c r="J6" s="67"/>
      <c r="K6" s="67"/>
      <c r="L6" s="67"/>
      <c r="M6" s="67"/>
      <c r="N6" s="67"/>
      <c r="O6" s="67"/>
      <c r="P6" s="67"/>
      <c r="Q6" s="67"/>
      <c r="R6" s="67"/>
      <c r="S6" s="67"/>
      <c r="T6" s="67"/>
      <c r="U6" s="67"/>
      <c r="V6" s="67"/>
    </row>
    <row r="7" spans="1:22" ht="14.4" customHeight="1">
      <c r="A7" s="72" t="s">
        <v>1711</v>
      </c>
      <c r="B7" s="67">
        <v>2</v>
      </c>
      <c r="C7" s="67"/>
      <c r="D7" s="67"/>
      <c r="E7" s="71" t="s">
        <v>1721</v>
      </c>
      <c r="F7" s="67">
        <v>1</v>
      </c>
      <c r="G7" s="67"/>
      <c r="H7" s="67"/>
      <c r="I7" s="67"/>
      <c r="J7" s="67"/>
      <c r="K7" s="67"/>
      <c r="L7" s="67"/>
      <c r="M7" s="67"/>
      <c r="N7" s="67"/>
      <c r="O7" s="67"/>
      <c r="P7" s="67"/>
      <c r="Q7" s="67"/>
      <c r="R7" s="67"/>
      <c r="S7" s="67"/>
      <c r="T7" s="67"/>
      <c r="U7" s="67"/>
      <c r="V7" s="67"/>
    </row>
    <row r="8" spans="1:22" ht="15">
      <c r="A8" s="72" t="s">
        <v>1712</v>
      </c>
      <c r="B8" s="67">
        <v>2</v>
      </c>
      <c r="C8" s="67"/>
      <c r="D8" s="67"/>
      <c r="E8" s="71" t="s">
        <v>1722</v>
      </c>
      <c r="F8" s="67">
        <v>1</v>
      </c>
      <c r="G8" s="67"/>
      <c r="H8" s="67"/>
      <c r="I8" s="67"/>
      <c r="J8" s="67"/>
      <c r="K8" s="67"/>
      <c r="L8" s="67"/>
      <c r="M8" s="67"/>
      <c r="N8" s="67"/>
      <c r="O8" s="67"/>
      <c r="P8" s="67"/>
      <c r="Q8" s="67"/>
      <c r="R8" s="67"/>
      <c r="S8" s="67"/>
      <c r="T8" s="67"/>
      <c r="U8" s="67"/>
      <c r="V8" s="67"/>
    </row>
    <row r="9" spans="1:22" ht="15">
      <c r="A9" s="72" t="s">
        <v>1713</v>
      </c>
      <c r="B9" s="67">
        <v>2</v>
      </c>
      <c r="C9" s="67"/>
      <c r="D9" s="67"/>
      <c r="E9" s="71" t="s">
        <v>1723</v>
      </c>
      <c r="F9" s="67">
        <v>1</v>
      </c>
      <c r="G9" s="67"/>
      <c r="H9" s="67"/>
      <c r="I9" s="67"/>
      <c r="J9" s="67"/>
      <c r="K9" s="67"/>
      <c r="L9" s="67"/>
      <c r="M9" s="67"/>
      <c r="N9" s="67"/>
      <c r="O9" s="67"/>
      <c r="P9" s="67"/>
      <c r="Q9" s="67"/>
      <c r="R9" s="67"/>
      <c r="S9" s="67"/>
      <c r="T9" s="67"/>
      <c r="U9" s="67"/>
      <c r="V9" s="67"/>
    </row>
    <row r="10" spans="1:22" ht="15">
      <c r="A10" s="72" t="s">
        <v>1714</v>
      </c>
      <c r="B10" s="67">
        <v>2</v>
      </c>
      <c r="C10" s="67"/>
      <c r="D10" s="67"/>
      <c r="E10" s="71" t="s">
        <v>1724</v>
      </c>
      <c r="F10" s="67">
        <v>1</v>
      </c>
      <c r="G10" s="67"/>
      <c r="H10" s="67"/>
      <c r="I10" s="67"/>
      <c r="J10" s="67"/>
      <c r="K10" s="67"/>
      <c r="L10" s="67"/>
      <c r="M10" s="67"/>
      <c r="N10" s="67"/>
      <c r="O10" s="67"/>
      <c r="P10" s="67"/>
      <c r="Q10" s="67"/>
      <c r="R10" s="67"/>
      <c r="S10" s="67"/>
      <c r="T10" s="67"/>
      <c r="U10" s="67"/>
      <c r="V10" s="67"/>
    </row>
    <row r="11" spans="1:22" ht="15">
      <c r="A11" s="72" t="s">
        <v>1715</v>
      </c>
      <c r="B11" s="67">
        <v>2</v>
      </c>
      <c r="C11" s="67"/>
      <c r="D11" s="67"/>
      <c r="E11" s="71" t="s">
        <v>451</v>
      </c>
      <c r="F11" s="67">
        <v>1</v>
      </c>
      <c r="G11" s="67"/>
      <c r="H11" s="67"/>
      <c r="I11" s="67"/>
      <c r="J11" s="67"/>
      <c r="K11" s="67"/>
      <c r="L11" s="67"/>
      <c r="M11" s="67"/>
      <c r="N11" s="67"/>
      <c r="O11" s="67"/>
      <c r="P11" s="67"/>
      <c r="Q11" s="67"/>
      <c r="R11" s="67"/>
      <c r="S11" s="67"/>
      <c r="T11" s="67"/>
      <c r="U11" s="67"/>
      <c r="V11" s="67"/>
    </row>
    <row r="13" ht="14.4" customHeight="1"/>
    <row r="14" spans="1:22" ht="14.4" customHeight="1">
      <c r="A14" s="13" t="s">
        <v>461</v>
      </c>
      <c r="B14" s="13" t="s">
        <v>452</v>
      </c>
      <c r="C14" s="67" t="s">
        <v>462</v>
      </c>
      <c r="D14" s="67" t="s">
        <v>455</v>
      </c>
      <c r="E14" s="13" t="s">
        <v>463</v>
      </c>
      <c r="F14" s="13" t="s">
        <v>457</v>
      </c>
      <c r="G14" s="67" t="s">
        <v>464</v>
      </c>
      <c r="H14" s="67" t="s">
        <v>459</v>
      </c>
      <c r="I14" s="13" t="s">
        <v>465</v>
      </c>
      <c r="J14" s="13" t="s">
        <v>1726</v>
      </c>
      <c r="K14" s="67" t="s">
        <v>1745</v>
      </c>
      <c r="L14" s="67" t="s">
        <v>1728</v>
      </c>
      <c r="M14" s="13" t="s">
        <v>1746</v>
      </c>
      <c r="N14" s="13" t="s">
        <v>1730</v>
      </c>
      <c r="O14" s="67" t="s">
        <v>1747</v>
      </c>
      <c r="P14" s="67" t="s">
        <v>1732</v>
      </c>
      <c r="Q14" s="13" t="s">
        <v>1748</v>
      </c>
      <c r="R14" s="13" t="s">
        <v>1735</v>
      </c>
      <c r="S14" s="13" t="s">
        <v>1749</v>
      </c>
      <c r="T14" s="13" t="s">
        <v>1737</v>
      </c>
      <c r="U14" s="67" t="s">
        <v>1750</v>
      </c>
      <c r="V14" s="67" t="s">
        <v>1738</v>
      </c>
    </row>
    <row r="15" spans="1:22" ht="15">
      <c r="A15" s="67" t="s">
        <v>269</v>
      </c>
      <c r="B15" s="67">
        <v>23</v>
      </c>
      <c r="C15" s="67"/>
      <c r="D15" s="67"/>
      <c r="E15" s="67" t="s">
        <v>269</v>
      </c>
      <c r="F15" s="67">
        <v>5</v>
      </c>
      <c r="G15" s="67"/>
      <c r="H15" s="67"/>
      <c r="I15" s="67" t="s">
        <v>702</v>
      </c>
      <c r="J15" s="67">
        <v>2</v>
      </c>
      <c r="K15" s="67"/>
      <c r="L15" s="67"/>
      <c r="M15" s="67" t="s">
        <v>269</v>
      </c>
      <c r="N15" s="67">
        <v>7</v>
      </c>
      <c r="O15" s="67"/>
      <c r="P15" s="67"/>
      <c r="Q15" s="67" t="s">
        <v>704</v>
      </c>
      <c r="R15" s="67">
        <v>1</v>
      </c>
      <c r="S15" s="67" t="s">
        <v>270</v>
      </c>
      <c r="T15" s="67">
        <v>2</v>
      </c>
      <c r="U15" s="67"/>
      <c r="V15" s="67"/>
    </row>
    <row r="16" spans="1:22" ht="15">
      <c r="A16" s="68" t="s">
        <v>702</v>
      </c>
      <c r="B16" s="67">
        <v>6</v>
      </c>
      <c r="C16" s="67"/>
      <c r="D16" s="67"/>
      <c r="E16" s="67" t="s">
        <v>703</v>
      </c>
      <c r="F16" s="67">
        <v>2</v>
      </c>
      <c r="G16" s="67"/>
      <c r="H16" s="67"/>
      <c r="I16" s="67"/>
      <c r="J16" s="67"/>
      <c r="K16" s="67"/>
      <c r="L16" s="67"/>
      <c r="M16" s="67"/>
      <c r="N16" s="67"/>
      <c r="O16" s="67"/>
      <c r="P16" s="67"/>
      <c r="Q16" s="67"/>
      <c r="R16" s="67"/>
      <c r="S16" s="67"/>
      <c r="T16" s="67"/>
      <c r="U16" s="67"/>
      <c r="V16" s="67"/>
    </row>
    <row r="17" spans="1:22" ht="15">
      <c r="A17" s="68" t="s">
        <v>270</v>
      </c>
      <c r="B17" s="67">
        <v>2</v>
      </c>
      <c r="C17" s="67"/>
      <c r="D17" s="67"/>
      <c r="E17" s="67" t="s">
        <v>702</v>
      </c>
      <c r="F17" s="67">
        <v>2</v>
      </c>
      <c r="G17" s="67"/>
      <c r="H17" s="67"/>
      <c r="I17" s="67"/>
      <c r="J17" s="67"/>
      <c r="K17" s="67"/>
      <c r="L17" s="67"/>
      <c r="M17" s="67"/>
      <c r="N17" s="67"/>
      <c r="O17" s="67"/>
      <c r="P17" s="67"/>
      <c r="Q17" s="67"/>
      <c r="R17" s="67"/>
      <c r="S17" s="67"/>
      <c r="T17" s="67"/>
      <c r="U17" s="67"/>
      <c r="V17" s="67"/>
    </row>
    <row r="18" spans="1:22" ht="14.4" customHeight="1">
      <c r="A18" s="68" t="s">
        <v>268</v>
      </c>
      <c r="B18" s="67">
        <v>2</v>
      </c>
      <c r="C18" s="67"/>
      <c r="D18" s="67"/>
      <c r="E18" s="67" t="s">
        <v>700</v>
      </c>
      <c r="F18" s="67">
        <v>1</v>
      </c>
      <c r="G18" s="67"/>
      <c r="H18" s="67"/>
      <c r="I18" s="67"/>
      <c r="J18" s="67"/>
      <c r="K18" s="67"/>
      <c r="L18" s="67"/>
      <c r="M18" s="67"/>
      <c r="N18" s="67"/>
      <c r="O18" s="67"/>
      <c r="P18" s="67"/>
      <c r="Q18" s="67"/>
      <c r="R18" s="67"/>
      <c r="S18" s="67"/>
      <c r="T18" s="67"/>
      <c r="U18" s="67"/>
      <c r="V18" s="67"/>
    </row>
    <row r="19" spans="1:22" ht="15">
      <c r="A19" s="68" t="s">
        <v>703</v>
      </c>
      <c r="B19" s="67">
        <v>2</v>
      </c>
      <c r="C19" s="67"/>
      <c r="D19" s="67"/>
      <c r="E19" s="67" t="s">
        <v>701</v>
      </c>
      <c r="F19" s="67">
        <v>1</v>
      </c>
      <c r="G19" s="67"/>
      <c r="H19" s="67"/>
      <c r="I19" s="67"/>
      <c r="J19" s="67"/>
      <c r="K19" s="67"/>
      <c r="L19" s="67"/>
      <c r="M19" s="67"/>
      <c r="N19" s="67"/>
      <c r="O19" s="67"/>
      <c r="P19" s="67"/>
      <c r="Q19" s="67"/>
      <c r="R19" s="67"/>
      <c r="S19" s="67"/>
      <c r="T19" s="67"/>
      <c r="U19" s="67"/>
      <c r="V19" s="67"/>
    </row>
    <row r="20" spans="1:22" ht="15">
      <c r="A20" s="68" t="s">
        <v>699</v>
      </c>
      <c r="B20" s="67">
        <v>2</v>
      </c>
      <c r="C20" s="67"/>
      <c r="D20" s="67"/>
      <c r="E20" s="67" t="s">
        <v>707</v>
      </c>
      <c r="F20" s="67">
        <v>1</v>
      </c>
      <c r="G20" s="67"/>
      <c r="H20" s="67"/>
      <c r="I20" s="67"/>
      <c r="J20" s="67"/>
      <c r="K20" s="67"/>
      <c r="L20" s="67"/>
      <c r="M20" s="67"/>
      <c r="N20" s="67"/>
      <c r="O20" s="67"/>
      <c r="P20" s="67"/>
      <c r="Q20" s="67"/>
      <c r="R20" s="67"/>
      <c r="S20" s="67"/>
      <c r="T20" s="67"/>
      <c r="U20" s="67"/>
      <c r="V20" s="67"/>
    </row>
    <row r="21" spans="1:22" ht="15">
      <c r="A21" s="68" t="s">
        <v>708</v>
      </c>
      <c r="B21" s="67">
        <v>1</v>
      </c>
      <c r="C21" s="67"/>
      <c r="D21" s="67"/>
      <c r="E21" s="67" t="s">
        <v>708</v>
      </c>
      <c r="F21" s="67">
        <v>1</v>
      </c>
      <c r="G21" s="67"/>
      <c r="H21" s="67"/>
      <c r="I21" s="67"/>
      <c r="J21" s="67"/>
      <c r="K21" s="67"/>
      <c r="L21" s="67"/>
      <c r="M21" s="67"/>
      <c r="N21" s="67"/>
      <c r="O21" s="67"/>
      <c r="P21" s="67"/>
      <c r="Q21" s="67"/>
      <c r="R21" s="67"/>
      <c r="S21" s="67"/>
      <c r="T21" s="67"/>
      <c r="U21" s="67"/>
      <c r="V21" s="67"/>
    </row>
    <row r="22" spans="1:22" ht="15">
      <c r="A22" s="68" t="s">
        <v>707</v>
      </c>
      <c r="B22" s="67">
        <v>1</v>
      </c>
      <c r="C22" s="67"/>
      <c r="D22" s="67"/>
      <c r="E22" s="67"/>
      <c r="F22" s="67"/>
      <c r="G22" s="67"/>
      <c r="H22" s="67"/>
      <c r="I22" s="67"/>
      <c r="J22" s="67"/>
      <c r="K22" s="67"/>
      <c r="L22" s="67"/>
      <c r="M22" s="67"/>
      <c r="N22" s="67"/>
      <c r="O22" s="67"/>
      <c r="P22" s="67"/>
      <c r="Q22" s="67"/>
      <c r="R22" s="67"/>
      <c r="S22" s="67"/>
      <c r="T22" s="67"/>
      <c r="U22" s="67"/>
      <c r="V22" s="67"/>
    </row>
    <row r="23" spans="1:22" ht="15">
      <c r="A23" s="68" t="s">
        <v>706</v>
      </c>
      <c r="B23" s="67">
        <v>1</v>
      </c>
      <c r="C23" s="67"/>
      <c r="D23" s="67"/>
      <c r="E23" s="67"/>
      <c r="F23" s="67"/>
      <c r="G23" s="67"/>
      <c r="H23" s="67"/>
      <c r="I23" s="67"/>
      <c r="J23" s="67"/>
      <c r="K23" s="67"/>
      <c r="L23" s="67"/>
      <c r="M23" s="67"/>
      <c r="N23" s="67"/>
      <c r="O23" s="67"/>
      <c r="P23" s="67"/>
      <c r="Q23" s="67"/>
      <c r="R23" s="67"/>
      <c r="S23" s="67"/>
      <c r="T23" s="67"/>
      <c r="U23" s="67"/>
      <c r="V23" s="67"/>
    </row>
    <row r="24" spans="1:22" ht="15">
      <c r="A24" s="68" t="s">
        <v>705</v>
      </c>
      <c r="B24" s="67">
        <v>1</v>
      </c>
      <c r="C24" s="67"/>
      <c r="D24" s="67"/>
      <c r="E24" s="67"/>
      <c r="F24" s="67"/>
      <c r="G24" s="67"/>
      <c r="H24" s="67"/>
      <c r="I24" s="67"/>
      <c r="J24" s="67"/>
      <c r="K24" s="67"/>
      <c r="L24" s="67"/>
      <c r="M24" s="67"/>
      <c r="N24" s="67"/>
      <c r="O24" s="67"/>
      <c r="P24" s="67"/>
      <c r="Q24" s="67"/>
      <c r="R24" s="67"/>
      <c r="S24" s="67"/>
      <c r="T24" s="67"/>
      <c r="U24" s="67"/>
      <c r="V24" s="67"/>
    </row>
    <row r="27" spans="1:22" ht="14.4" customHeight="1">
      <c r="A27" s="13" t="s">
        <v>467</v>
      </c>
      <c r="B27" s="13" t="s">
        <v>452</v>
      </c>
      <c r="C27" s="13" t="s">
        <v>469</v>
      </c>
      <c r="D27" s="13" t="s">
        <v>455</v>
      </c>
      <c r="E27" s="13" t="s">
        <v>470</v>
      </c>
      <c r="F27" s="13" t="s">
        <v>457</v>
      </c>
      <c r="G27" s="67" t="s">
        <v>471</v>
      </c>
      <c r="H27" s="67" t="s">
        <v>459</v>
      </c>
      <c r="I27" s="13" t="s">
        <v>472</v>
      </c>
      <c r="J27" s="13" t="s">
        <v>1726</v>
      </c>
      <c r="K27" s="13" t="s">
        <v>1765</v>
      </c>
      <c r="L27" s="13" t="s">
        <v>1728</v>
      </c>
      <c r="M27" s="13" t="s">
        <v>1766</v>
      </c>
      <c r="N27" s="13" t="s">
        <v>1730</v>
      </c>
      <c r="O27" s="13" t="s">
        <v>1767</v>
      </c>
      <c r="P27" s="13" t="s">
        <v>1732</v>
      </c>
      <c r="Q27" s="13" t="s">
        <v>1769</v>
      </c>
      <c r="R27" s="13" t="s">
        <v>1735</v>
      </c>
      <c r="S27" s="13" t="s">
        <v>1770</v>
      </c>
      <c r="T27" s="13" t="s">
        <v>1737</v>
      </c>
      <c r="U27" s="67" t="s">
        <v>1771</v>
      </c>
      <c r="V27" s="67" t="s">
        <v>1738</v>
      </c>
    </row>
    <row r="28" spans="1:22" ht="15">
      <c r="A28" s="67" t="s">
        <v>712</v>
      </c>
      <c r="B28" s="67">
        <v>7</v>
      </c>
      <c r="C28" s="67" t="s">
        <v>718</v>
      </c>
      <c r="D28" s="67">
        <v>1</v>
      </c>
      <c r="E28" s="67" t="s">
        <v>709</v>
      </c>
      <c r="F28" s="67">
        <v>1</v>
      </c>
      <c r="G28" s="67"/>
      <c r="H28" s="67"/>
      <c r="I28" s="67" t="s">
        <v>1752</v>
      </c>
      <c r="J28" s="67">
        <v>4</v>
      </c>
      <c r="K28" s="67" t="s">
        <v>712</v>
      </c>
      <c r="L28" s="67">
        <v>7</v>
      </c>
      <c r="M28" s="67" t="s">
        <v>714</v>
      </c>
      <c r="N28" s="67">
        <v>5</v>
      </c>
      <c r="O28" s="67" t="s">
        <v>1757</v>
      </c>
      <c r="P28" s="67">
        <v>3</v>
      </c>
      <c r="Q28" s="67" t="s">
        <v>716</v>
      </c>
      <c r="R28" s="67">
        <v>1</v>
      </c>
      <c r="S28" s="67" t="s">
        <v>468</v>
      </c>
      <c r="T28" s="67">
        <v>2</v>
      </c>
      <c r="U28" s="67"/>
      <c r="V28" s="67"/>
    </row>
    <row r="29" spans="1:22" ht="15">
      <c r="A29" s="68" t="s">
        <v>718</v>
      </c>
      <c r="B29" s="67">
        <v>5</v>
      </c>
      <c r="C29" s="67"/>
      <c r="D29" s="67"/>
      <c r="E29" s="67" t="s">
        <v>1758</v>
      </c>
      <c r="F29" s="67">
        <v>1</v>
      </c>
      <c r="G29" s="67"/>
      <c r="H29" s="67"/>
      <c r="I29" s="67" t="s">
        <v>718</v>
      </c>
      <c r="J29" s="67">
        <v>4</v>
      </c>
      <c r="K29" s="67"/>
      <c r="L29" s="67"/>
      <c r="M29" s="67"/>
      <c r="N29" s="67"/>
      <c r="O29" s="67" t="s">
        <v>1768</v>
      </c>
      <c r="P29" s="67">
        <v>3</v>
      </c>
      <c r="Q29" s="67"/>
      <c r="R29" s="67"/>
      <c r="S29" s="67" t="s">
        <v>379</v>
      </c>
      <c r="T29" s="67">
        <v>2</v>
      </c>
      <c r="U29" s="67"/>
      <c r="V29" s="67"/>
    </row>
    <row r="30" spans="1:22" ht="15">
      <c r="A30" s="68" t="s">
        <v>714</v>
      </c>
      <c r="B30" s="67">
        <v>5</v>
      </c>
      <c r="C30" s="67"/>
      <c r="D30" s="67"/>
      <c r="E30" s="67" t="s">
        <v>1759</v>
      </c>
      <c r="F30" s="67">
        <v>1</v>
      </c>
      <c r="G30" s="67"/>
      <c r="H30" s="67"/>
      <c r="I30" s="67" t="s">
        <v>1753</v>
      </c>
      <c r="J30" s="67">
        <v>4</v>
      </c>
      <c r="K30" s="67"/>
      <c r="L30" s="67"/>
      <c r="M30" s="67"/>
      <c r="N30" s="67"/>
      <c r="O30" s="67"/>
      <c r="P30" s="67"/>
      <c r="Q30" s="67"/>
      <c r="R30" s="67"/>
      <c r="S30" s="67"/>
      <c r="T30" s="67"/>
      <c r="U30" s="67"/>
      <c r="V30" s="67"/>
    </row>
    <row r="31" spans="1:22" ht="14.4" customHeight="1">
      <c r="A31" s="68" t="s">
        <v>1752</v>
      </c>
      <c r="B31" s="67">
        <v>4</v>
      </c>
      <c r="C31" s="67"/>
      <c r="D31" s="67"/>
      <c r="E31" s="67" t="s">
        <v>1760</v>
      </c>
      <c r="F31" s="67">
        <v>1</v>
      </c>
      <c r="G31" s="67"/>
      <c r="H31" s="67"/>
      <c r="I31" s="67" t="s">
        <v>1754</v>
      </c>
      <c r="J31" s="67">
        <v>4</v>
      </c>
      <c r="K31" s="67"/>
      <c r="L31" s="67"/>
      <c r="M31" s="67"/>
      <c r="N31" s="67"/>
      <c r="O31" s="67"/>
      <c r="P31" s="67"/>
      <c r="Q31" s="67"/>
      <c r="R31" s="67"/>
      <c r="S31" s="67"/>
      <c r="T31" s="67"/>
      <c r="U31" s="67"/>
      <c r="V31" s="67"/>
    </row>
    <row r="32" spans="1:22" ht="15">
      <c r="A32" s="68" t="s">
        <v>1753</v>
      </c>
      <c r="B32" s="67">
        <v>4</v>
      </c>
      <c r="C32" s="67"/>
      <c r="D32" s="67"/>
      <c r="E32" s="67" t="s">
        <v>468</v>
      </c>
      <c r="F32" s="67">
        <v>1</v>
      </c>
      <c r="G32" s="67"/>
      <c r="H32" s="67"/>
      <c r="I32" s="67" t="s">
        <v>1755</v>
      </c>
      <c r="J32" s="67">
        <v>4</v>
      </c>
      <c r="K32" s="67"/>
      <c r="L32" s="67"/>
      <c r="M32" s="67"/>
      <c r="N32" s="67"/>
      <c r="O32" s="67"/>
      <c r="P32" s="67"/>
      <c r="Q32" s="67"/>
      <c r="R32" s="67"/>
      <c r="S32" s="67"/>
      <c r="T32" s="67"/>
      <c r="U32" s="67"/>
      <c r="V32" s="67"/>
    </row>
    <row r="33" spans="1:22" ht="15">
      <c r="A33" s="68" t="s">
        <v>1754</v>
      </c>
      <c r="B33" s="67">
        <v>4</v>
      </c>
      <c r="C33" s="67"/>
      <c r="D33" s="67"/>
      <c r="E33" s="67" t="s">
        <v>1761</v>
      </c>
      <c r="F33" s="67">
        <v>1</v>
      </c>
      <c r="G33" s="67"/>
      <c r="H33" s="67"/>
      <c r="I33" s="67" t="s">
        <v>1756</v>
      </c>
      <c r="J33" s="67">
        <v>4</v>
      </c>
      <c r="K33" s="67"/>
      <c r="L33" s="67"/>
      <c r="M33" s="67"/>
      <c r="N33" s="67"/>
      <c r="O33" s="67"/>
      <c r="P33" s="67"/>
      <c r="Q33" s="67"/>
      <c r="R33" s="67"/>
      <c r="S33" s="67"/>
      <c r="T33" s="67"/>
      <c r="U33" s="67"/>
      <c r="V33" s="67"/>
    </row>
    <row r="34" spans="1:22" ht="15">
      <c r="A34" s="68" t="s">
        <v>1755</v>
      </c>
      <c r="B34" s="67">
        <v>4</v>
      </c>
      <c r="C34" s="67"/>
      <c r="D34" s="67"/>
      <c r="E34" s="67" t="s">
        <v>1762</v>
      </c>
      <c r="F34" s="67">
        <v>1</v>
      </c>
      <c r="G34" s="67"/>
      <c r="H34" s="67"/>
      <c r="I34" s="67"/>
      <c r="J34" s="67"/>
      <c r="K34" s="67"/>
      <c r="L34" s="67"/>
      <c r="M34" s="67"/>
      <c r="N34" s="67"/>
      <c r="O34" s="67"/>
      <c r="P34" s="67"/>
      <c r="Q34" s="67"/>
      <c r="R34" s="67"/>
      <c r="S34" s="67"/>
      <c r="T34" s="67"/>
      <c r="U34" s="67"/>
      <c r="V34" s="67"/>
    </row>
    <row r="35" spans="1:22" ht="15">
      <c r="A35" s="68" t="s">
        <v>1756</v>
      </c>
      <c r="B35" s="67">
        <v>4</v>
      </c>
      <c r="C35" s="67"/>
      <c r="D35" s="67"/>
      <c r="E35" s="67" t="s">
        <v>1763</v>
      </c>
      <c r="F35" s="67">
        <v>1</v>
      </c>
      <c r="G35" s="67"/>
      <c r="H35" s="67"/>
      <c r="I35" s="67"/>
      <c r="J35" s="67"/>
      <c r="K35" s="67"/>
      <c r="L35" s="67"/>
      <c r="M35" s="67"/>
      <c r="N35" s="67"/>
      <c r="O35" s="67"/>
      <c r="P35" s="67"/>
      <c r="Q35" s="67"/>
      <c r="R35" s="67"/>
      <c r="S35" s="67"/>
      <c r="T35" s="67"/>
      <c r="U35" s="67"/>
      <c r="V35" s="67"/>
    </row>
    <row r="36" spans="1:22" ht="15">
      <c r="A36" s="68" t="s">
        <v>468</v>
      </c>
      <c r="B36" s="67">
        <v>3</v>
      </c>
      <c r="C36" s="67"/>
      <c r="D36" s="67"/>
      <c r="E36" s="67" t="s">
        <v>1764</v>
      </c>
      <c r="F36" s="67">
        <v>1</v>
      </c>
      <c r="G36" s="67"/>
      <c r="H36" s="67"/>
      <c r="I36" s="67"/>
      <c r="J36" s="67"/>
      <c r="K36" s="67"/>
      <c r="L36" s="67"/>
      <c r="M36" s="67"/>
      <c r="N36" s="67"/>
      <c r="O36" s="67"/>
      <c r="P36" s="67"/>
      <c r="Q36" s="67"/>
      <c r="R36" s="67"/>
      <c r="S36" s="67"/>
      <c r="T36" s="67"/>
      <c r="U36" s="67"/>
      <c r="V36" s="67"/>
    </row>
    <row r="37" spans="1:22" ht="15">
      <c r="A37" s="68" t="s">
        <v>1757</v>
      </c>
      <c r="B37" s="67">
        <v>3</v>
      </c>
      <c r="C37" s="67"/>
      <c r="D37" s="67"/>
      <c r="E37" s="67" t="s">
        <v>716</v>
      </c>
      <c r="F37" s="67">
        <v>1</v>
      </c>
      <c r="G37" s="67"/>
      <c r="H37" s="67"/>
      <c r="I37" s="67"/>
      <c r="J37" s="67"/>
      <c r="K37" s="67"/>
      <c r="L37" s="67"/>
      <c r="M37" s="67"/>
      <c r="N37" s="67"/>
      <c r="O37" s="67"/>
      <c r="P37" s="67"/>
      <c r="Q37" s="67"/>
      <c r="R37" s="67"/>
      <c r="S37" s="67"/>
      <c r="T37" s="67"/>
      <c r="U37" s="67"/>
      <c r="V37" s="67"/>
    </row>
    <row r="40" spans="1:22" ht="14.4" customHeight="1">
      <c r="A40" s="13" t="s">
        <v>474</v>
      </c>
      <c r="B40" s="13" t="s">
        <v>452</v>
      </c>
      <c r="C40" s="13" t="s">
        <v>475</v>
      </c>
      <c r="D40" s="13" t="s">
        <v>455</v>
      </c>
      <c r="E40" s="13" t="s">
        <v>476</v>
      </c>
      <c r="F40" s="13" t="s">
        <v>457</v>
      </c>
      <c r="G40" s="13" t="s">
        <v>477</v>
      </c>
      <c r="H40" s="13" t="s">
        <v>459</v>
      </c>
      <c r="I40" s="13" t="s">
        <v>478</v>
      </c>
      <c r="J40" s="13" t="s">
        <v>1726</v>
      </c>
      <c r="K40" s="13" t="s">
        <v>1773</v>
      </c>
      <c r="L40" s="13" t="s">
        <v>1728</v>
      </c>
      <c r="M40" s="13" t="s">
        <v>1774</v>
      </c>
      <c r="N40" s="13" t="s">
        <v>1730</v>
      </c>
      <c r="O40" s="13" t="s">
        <v>1775</v>
      </c>
      <c r="P40" s="13" t="s">
        <v>1732</v>
      </c>
      <c r="Q40" s="67" t="s">
        <v>1776</v>
      </c>
      <c r="R40" s="67" t="s">
        <v>1735</v>
      </c>
      <c r="S40" s="13" t="s">
        <v>1777</v>
      </c>
      <c r="T40" s="13" t="s">
        <v>1737</v>
      </c>
      <c r="U40" s="13" t="s">
        <v>1778</v>
      </c>
      <c r="V40" s="13" t="s">
        <v>1738</v>
      </c>
    </row>
    <row r="41" spans="1:22" ht="15">
      <c r="A41" s="76" t="s">
        <v>363</v>
      </c>
      <c r="B41" s="76">
        <v>125</v>
      </c>
      <c r="C41" s="76" t="s">
        <v>363</v>
      </c>
      <c r="D41" s="76">
        <v>41</v>
      </c>
      <c r="E41" s="76" t="s">
        <v>363</v>
      </c>
      <c r="F41" s="76">
        <v>21</v>
      </c>
      <c r="G41" s="76" t="s">
        <v>1494</v>
      </c>
      <c r="H41" s="76">
        <v>26</v>
      </c>
      <c r="I41" s="76" t="s">
        <v>360</v>
      </c>
      <c r="J41" s="76">
        <v>6</v>
      </c>
      <c r="K41" s="76" t="s">
        <v>1491</v>
      </c>
      <c r="L41" s="76">
        <v>14</v>
      </c>
      <c r="M41" s="76" t="s">
        <v>1555</v>
      </c>
      <c r="N41" s="76">
        <v>7</v>
      </c>
      <c r="O41" s="76" t="s">
        <v>1553</v>
      </c>
      <c r="P41" s="76">
        <v>6</v>
      </c>
      <c r="Q41" s="76"/>
      <c r="R41" s="76"/>
      <c r="S41" s="76" t="s">
        <v>380</v>
      </c>
      <c r="T41" s="76">
        <v>2</v>
      </c>
      <c r="U41" s="76" t="s">
        <v>1640</v>
      </c>
      <c r="V41" s="76">
        <v>2</v>
      </c>
    </row>
    <row r="42" spans="1:22" ht="15">
      <c r="A42" s="73" t="s">
        <v>360</v>
      </c>
      <c r="B42" s="76">
        <v>99</v>
      </c>
      <c r="C42" s="76" t="s">
        <v>1492</v>
      </c>
      <c r="D42" s="76">
        <v>40</v>
      </c>
      <c r="E42" s="76" t="s">
        <v>360</v>
      </c>
      <c r="F42" s="76">
        <v>18</v>
      </c>
      <c r="G42" s="76" t="s">
        <v>1495</v>
      </c>
      <c r="H42" s="76">
        <v>26</v>
      </c>
      <c r="I42" s="76" t="s">
        <v>362</v>
      </c>
      <c r="J42" s="76">
        <v>6</v>
      </c>
      <c r="K42" s="76" t="s">
        <v>1498</v>
      </c>
      <c r="L42" s="76">
        <v>14</v>
      </c>
      <c r="M42" s="76" t="s">
        <v>1557</v>
      </c>
      <c r="N42" s="76">
        <v>7</v>
      </c>
      <c r="O42" s="76" t="s">
        <v>1502</v>
      </c>
      <c r="P42" s="76">
        <v>3</v>
      </c>
      <c r="Q42" s="76"/>
      <c r="R42" s="76"/>
      <c r="S42" s="76" t="s">
        <v>364</v>
      </c>
      <c r="T42" s="76">
        <v>2</v>
      </c>
      <c r="U42" s="76" t="s">
        <v>1641</v>
      </c>
      <c r="V42" s="76">
        <v>2</v>
      </c>
    </row>
    <row r="43" spans="1:22" ht="15">
      <c r="A43" s="73" t="s">
        <v>362</v>
      </c>
      <c r="B43" s="76">
        <v>94</v>
      </c>
      <c r="C43" s="76" t="s">
        <v>360</v>
      </c>
      <c r="D43" s="76">
        <v>27</v>
      </c>
      <c r="E43" s="76" t="s">
        <v>362</v>
      </c>
      <c r="F43" s="76">
        <v>17</v>
      </c>
      <c r="G43" s="76" t="s">
        <v>1527</v>
      </c>
      <c r="H43" s="76">
        <v>13</v>
      </c>
      <c r="I43" s="76" t="s">
        <v>363</v>
      </c>
      <c r="J43" s="76">
        <v>6</v>
      </c>
      <c r="K43" s="76" t="s">
        <v>1526</v>
      </c>
      <c r="L43" s="76">
        <v>14</v>
      </c>
      <c r="M43" s="76" t="s">
        <v>1558</v>
      </c>
      <c r="N43" s="76">
        <v>7</v>
      </c>
      <c r="O43" s="76" t="s">
        <v>363</v>
      </c>
      <c r="P43" s="76">
        <v>3</v>
      </c>
      <c r="Q43" s="76"/>
      <c r="R43" s="76"/>
      <c r="S43" s="76" t="s">
        <v>365</v>
      </c>
      <c r="T43" s="76">
        <v>2</v>
      </c>
      <c r="U43" s="76"/>
      <c r="V43" s="76"/>
    </row>
    <row r="44" spans="1:22" ht="14.4" customHeight="1">
      <c r="A44" s="73" t="s">
        <v>1491</v>
      </c>
      <c r="B44" s="76">
        <v>50</v>
      </c>
      <c r="C44" s="76" t="s">
        <v>362</v>
      </c>
      <c r="D44" s="76">
        <v>27</v>
      </c>
      <c r="E44" s="76" t="s">
        <v>379</v>
      </c>
      <c r="F44" s="76">
        <v>10</v>
      </c>
      <c r="G44" s="76" t="s">
        <v>1528</v>
      </c>
      <c r="H44" s="76">
        <v>13</v>
      </c>
      <c r="I44" s="76" t="s">
        <v>642</v>
      </c>
      <c r="J44" s="76">
        <v>6</v>
      </c>
      <c r="K44" s="76" t="s">
        <v>1562</v>
      </c>
      <c r="L44" s="76">
        <v>7</v>
      </c>
      <c r="M44" s="76" t="s">
        <v>1559</v>
      </c>
      <c r="N44" s="76">
        <v>7</v>
      </c>
      <c r="O44" s="76" t="s">
        <v>641</v>
      </c>
      <c r="P44" s="76">
        <v>3</v>
      </c>
      <c r="Q44" s="76"/>
      <c r="R44" s="76"/>
      <c r="S44" s="76" t="s">
        <v>366</v>
      </c>
      <c r="T44" s="76">
        <v>2</v>
      </c>
      <c r="U44" s="76"/>
      <c r="V44" s="76"/>
    </row>
    <row r="45" spans="1:22" ht="15">
      <c r="A45" s="73" t="s">
        <v>1492</v>
      </c>
      <c r="B45" s="76">
        <v>46</v>
      </c>
      <c r="C45" s="76" t="s">
        <v>720</v>
      </c>
      <c r="D45" s="76">
        <v>26</v>
      </c>
      <c r="E45" s="76" t="s">
        <v>1503</v>
      </c>
      <c r="F45" s="76">
        <v>7</v>
      </c>
      <c r="G45" s="76" t="s">
        <v>1529</v>
      </c>
      <c r="H45" s="76">
        <v>13</v>
      </c>
      <c r="I45" s="76" t="s">
        <v>1591</v>
      </c>
      <c r="J45" s="76">
        <v>4</v>
      </c>
      <c r="K45" s="76" t="s">
        <v>1563</v>
      </c>
      <c r="L45" s="76">
        <v>7</v>
      </c>
      <c r="M45" s="76" t="s">
        <v>370</v>
      </c>
      <c r="N45" s="76">
        <v>7</v>
      </c>
      <c r="O45" s="76" t="s">
        <v>1623</v>
      </c>
      <c r="P45" s="76">
        <v>3</v>
      </c>
      <c r="Q45" s="76"/>
      <c r="R45" s="76"/>
      <c r="S45" s="76" t="s">
        <v>367</v>
      </c>
      <c r="T45" s="76">
        <v>2</v>
      </c>
      <c r="U45" s="76"/>
      <c r="V45" s="76"/>
    </row>
    <row r="46" spans="1:22" ht="15">
      <c r="A46" s="73" t="s">
        <v>720</v>
      </c>
      <c r="B46" s="76">
        <v>31</v>
      </c>
      <c r="C46" s="76" t="s">
        <v>1493</v>
      </c>
      <c r="D46" s="76">
        <v>26</v>
      </c>
      <c r="E46" s="76" t="s">
        <v>1581</v>
      </c>
      <c r="F46" s="76">
        <v>5</v>
      </c>
      <c r="G46" s="76" t="s">
        <v>1510</v>
      </c>
      <c r="H46" s="76">
        <v>13</v>
      </c>
      <c r="I46" s="76" t="s">
        <v>1593</v>
      </c>
      <c r="J46" s="76">
        <v>4</v>
      </c>
      <c r="K46" s="76" t="s">
        <v>1564</v>
      </c>
      <c r="L46" s="76">
        <v>7</v>
      </c>
      <c r="M46" s="76" t="s">
        <v>360</v>
      </c>
      <c r="N46" s="76">
        <v>7</v>
      </c>
      <c r="O46" s="76" t="s">
        <v>640</v>
      </c>
      <c r="P46" s="76">
        <v>3</v>
      </c>
      <c r="Q46" s="76"/>
      <c r="R46" s="76"/>
      <c r="S46" s="76" t="s">
        <v>368</v>
      </c>
      <c r="T46" s="76">
        <v>2</v>
      </c>
      <c r="U46" s="76"/>
      <c r="V46" s="76"/>
    </row>
    <row r="47" spans="1:22" ht="14.4" customHeight="1">
      <c r="A47" s="73" t="s">
        <v>373</v>
      </c>
      <c r="B47" s="76">
        <v>28</v>
      </c>
      <c r="C47" s="76" t="s">
        <v>1491</v>
      </c>
      <c r="D47" s="76">
        <v>24</v>
      </c>
      <c r="E47" s="76" t="s">
        <v>382</v>
      </c>
      <c r="F47" s="76">
        <v>4</v>
      </c>
      <c r="G47" s="76" t="s">
        <v>360</v>
      </c>
      <c r="H47" s="76">
        <v>13</v>
      </c>
      <c r="I47" s="76" t="s">
        <v>1582</v>
      </c>
      <c r="J47" s="76">
        <v>4</v>
      </c>
      <c r="K47" s="76" t="s">
        <v>1565</v>
      </c>
      <c r="L47" s="76">
        <v>7</v>
      </c>
      <c r="M47" s="76" t="s">
        <v>368</v>
      </c>
      <c r="N47" s="76">
        <v>7</v>
      </c>
      <c r="O47" s="76" t="s">
        <v>1624</v>
      </c>
      <c r="P47" s="76">
        <v>3</v>
      </c>
      <c r="Q47" s="76"/>
      <c r="R47" s="76"/>
      <c r="S47" s="76" t="s">
        <v>369</v>
      </c>
      <c r="T47" s="76">
        <v>2</v>
      </c>
      <c r="U47" s="76"/>
      <c r="V47" s="76"/>
    </row>
    <row r="48" spans="1:22" ht="15">
      <c r="A48" s="73" t="s">
        <v>1493</v>
      </c>
      <c r="B48" s="76">
        <v>26</v>
      </c>
      <c r="C48" s="76" t="s">
        <v>1496</v>
      </c>
      <c r="D48" s="76">
        <v>24</v>
      </c>
      <c r="E48" s="76" t="s">
        <v>1587</v>
      </c>
      <c r="F48" s="76">
        <v>4</v>
      </c>
      <c r="G48" s="76" t="s">
        <v>362</v>
      </c>
      <c r="H48" s="76">
        <v>13</v>
      </c>
      <c r="I48" s="76" t="s">
        <v>1594</v>
      </c>
      <c r="J48" s="76">
        <v>4</v>
      </c>
      <c r="K48" s="76" t="s">
        <v>1566</v>
      </c>
      <c r="L48" s="76">
        <v>7</v>
      </c>
      <c r="M48" s="76" t="s">
        <v>1560</v>
      </c>
      <c r="N48" s="76">
        <v>7</v>
      </c>
      <c r="O48" s="76" t="s">
        <v>1500</v>
      </c>
      <c r="P48" s="76">
        <v>3</v>
      </c>
      <c r="Q48" s="76"/>
      <c r="R48" s="76"/>
      <c r="S48" s="76" t="s">
        <v>370</v>
      </c>
      <c r="T48" s="76">
        <v>2</v>
      </c>
      <c r="U48" s="76"/>
      <c r="V48" s="76"/>
    </row>
    <row r="49" spans="1:22" ht="15">
      <c r="A49" s="73" t="s">
        <v>1494</v>
      </c>
      <c r="B49" s="76">
        <v>26</v>
      </c>
      <c r="C49" s="76" t="s">
        <v>373</v>
      </c>
      <c r="D49" s="76">
        <v>15</v>
      </c>
      <c r="E49" s="76" t="s">
        <v>1491</v>
      </c>
      <c r="F49" s="76">
        <v>4</v>
      </c>
      <c r="G49" s="76" t="s">
        <v>363</v>
      </c>
      <c r="H49" s="76">
        <v>13</v>
      </c>
      <c r="I49" s="76" t="s">
        <v>1595</v>
      </c>
      <c r="J49" s="76">
        <v>4</v>
      </c>
      <c r="K49" s="76" t="s">
        <v>1567</v>
      </c>
      <c r="L49" s="76">
        <v>7</v>
      </c>
      <c r="M49" s="76" t="s">
        <v>1561</v>
      </c>
      <c r="N49" s="76">
        <v>7</v>
      </c>
      <c r="O49" s="76" t="s">
        <v>1625</v>
      </c>
      <c r="P49" s="76">
        <v>3</v>
      </c>
      <c r="Q49" s="76"/>
      <c r="R49" s="76"/>
      <c r="S49" s="76" t="s">
        <v>360</v>
      </c>
      <c r="T49" s="76">
        <v>2</v>
      </c>
      <c r="U49" s="76"/>
      <c r="V49" s="76"/>
    </row>
    <row r="50" spans="1:22" ht="15">
      <c r="A50" s="73" t="s">
        <v>1495</v>
      </c>
      <c r="B50" s="76">
        <v>26</v>
      </c>
      <c r="C50" s="76" t="s">
        <v>1502</v>
      </c>
      <c r="D50" s="76">
        <v>14</v>
      </c>
      <c r="E50" s="76" t="s">
        <v>361</v>
      </c>
      <c r="F50" s="76">
        <v>3</v>
      </c>
      <c r="G50" s="76" t="s">
        <v>1530</v>
      </c>
      <c r="H50" s="76">
        <v>13</v>
      </c>
      <c r="I50" s="76" t="s">
        <v>1596</v>
      </c>
      <c r="J50" s="76">
        <v>4</v>
      </c>
      <c r="K50" s="76" t="s">
        <v>1568</v>
      </c>
      <c r="L50" s="76">
        <v>7</v>
      </c>
      <c r="M50" s="76" t="s">
        <v>363</v>
      </c>
      <c r="N50" s="76">
        <v>7</v>
      </c>
      <c r="O50" s="76" t="s">
        <v>1551</v>
      </c>
      <c r="P50" s="76">
        <v>3</v>
      </c>
      <c r="Q50" s="76"/>
      <c r="R50" s="76"/>
      <c r="S50" s="76" t="s">
        <v>371</v>
      </c>
      <c r="T50" s="76">
        <v>2</v>
      </c>
      <c r="U50" s="76"/>
      <c r="V50" s="76"/>
    </row>
    <row r="51" ht="14.4" customHeight="1"/>
    <row r="53" spans="1:22" ht="14.4" customHeight="1">
      <c r="A53" s="13" t="s">
        <v>482</v>
      </c>
      <c r="B53" s="13" t="s">
        <v>452</v>
      </c>
      <c r="C53" s="13" t="s">
        <v>492</v>
      </c>
      <c r="D53" s="13" t="s">
        <v>455</v>
      </c>
      <c r="E53" s="13" t="s">
        <v>495</v>
      </c>
      <c r="F53" s="13" t="s">
        <v>457</v>
      </c>
      <c r="G53" s="13" t="s">
        <v>496</v>
      </c>
      <c r="H53" s="13" t="s">
        <v>459</v>
      </c>
      <c r="I53" s="13" t="s">
        <v>497</v>
      </c>
      <c r="J53" s="13" t="s">
        <v>1726</v>
      </c>
      <c r="K53" s="13" t="s">
        <v>1825</v>
      </c>
      <c r="L53" s="13" t="s">
        <v>1728</v>
      </c>
      <c r="M53" s="13" t="s">
        <v>1835</v>
      </c>
      <c r="N53" s="13" t="s">
        <v>1730</v>
      </c>
      <c r="O53" s="13" t="s">
        <v>1845</v>
      </c>
      <c r="P53" s="13" t="s">
        <v>1732</v>
      </c>
      <c r="Q53" s="67" t="s">
        <v>1856</v>
      </c>
      <c r="R53" s="67" t="s">
        <v>1735</v>
      </c>
      <c r="S53" s="13" t="s">
        <v>1857</v>
      </c>
      <c r="T53" s="13" t="s">
        <v>1737</v>
      </c>
      <c r="U53" s="67" t="s">
        <v>1858</v>
      </c>
      <c r="V53" s="67" t="s">
        <v>1738</v>
      </c>
    </row>
    <row r="54" spans="1:22" ht="15">
      <c r="A54" s="76" t="s">
        <v>1795</v>
      </c>
      <c r="B54" s="76">
        <v>81</v>
      </c>
      <c r="C54" s="76" t="s">
        <v>1795</v>
      </c>
      <c r="D54" s="76">
        <v>27</v>
      </c>
      <c r="E54" s="76" t="s">
        <v>483</v>
      </c>
      <c r="F54" s="76">
        <v>14</v>
      </c>
      <c r="G54" s="76" t="s">
        <v>1810</v>
      </c>
      <c r="H54" s="76">
        <v>13</v>
      </c>
      <c r="I54" s="76" t="s">
        <v>1795</v>
      </c>
      <c r="J54" s="76">
        <v>6</v>
      </c>
      <c r="K54" s="76" t="s">
        <v>1796</v>
      </c>
      <c r="L54" s="76">
        <v>14</v>
      </c>
      <c r="M54" s="76" t="s">
        <v>1836</v>
      </c>
      <c r="N54" s="76">
        <v>7</v>
      </c>
      <c r="O54" s="76" t="s">
        <v>1846</v>
      </c>
      <c r="P54" s="76">
        <v>3</v>
      </c>
      <c r="Q54" s="76"/>
      <c r="R54" s="76"/>
      <c r="S54" s="76" t="s">
        <v>493</v>
      </c>
      <c r="T54" s="76">
        <v>2</v>
      </c>
      <c r="U54" s="76"/>
      <c r="V54" s="76"/>
    </row>
    <row r="55" spans="1:22" ht="15">
      <c r="A55" s="73" t="s">
        <v>483</v>
      </c>
      <c r="B55" s="76">
        <v>75</v>
      </c>
      <c r="C55" s="76" t="s">
        <v>483</v>
      </c>
      <c r="D55" s="76">
        <v>26</v>
      </c>
      <c r="E55" s="76" t="s">
        <v>1795</v>
      </c>
      <c r="F55" s="76">
        <v>12</v>
      </c>
      <c r="G55" s="76" t="s">
        <v>1811</v>
      </c>
      <c r="H55" s="76">
        <v>13</v>
      </c>
      <c r="I55" s="76" t="s">
        <v>483</v>
      </c>
      <c r="J55" s="76">
        <v>6</v>
      </c>
      <c r="K55" s="76" t="s">
        <v>1826</v>
      </c>
      <c r="L55" s="76">
        <v>7</v>
      </c>
      <c r="M55" s="76" t="s">
        <v>1837</v>
      </c>
      <c r="N55" s="76">
        <v>7</v>
      </c>
      <c r="O55" s="76" t="s">
        <v>1847</v>
      </c>
      <c r="P55" s="76">
        <v>3</v>
      </c>
      <c r="Q55" s="76"/>
      <c r="R55" s="76"/>
      <c r="S55" s="76" t="s">
        <v>484</v>
      </c>
      <c r="T55" s="76">
        <v>2</v>
      </c>
      <c r="U55" s="76"/>
      <c r="V55" s="76"/>
    </row>
    <row r="56" spans="1:22" ht="15">
      <c r="A56" s="73" t="s">
        <v>1796</v>
      </c>
      <c r="B56" s="76">
        <v>17</v>
      </c>
      <c r="C56" s="76" t="s">
        <v>1798</v>
      </c>
      <c r="D56" s="76">
        <v>14</v>
      </c>
      <c r="E56" s="76" t="s">
        <v>1806</v>
      </c>
      <c r="F56" s="76">
        <v>4</v>
      </c>
      <c r="G56" s="76" t="s">
        <v>1812</v>
      </c>
      <c r="H56" s="76">
        <v>13</v>
      </c>
      <c r="I56" s="76" t="s">
        <v>1817</v>
      </c>
      <c r="J56" s="76">
        <v>4</v>
      </c>
      <c r="K56" s="76" t="s">
        <v>1827</v>
      </c>
      <c r="L56" s="76">
        <v>7</v>
      </c>
      <c r="M56" s="76" t="s">
        <v>1838</v>
      </c>
      <c r="N56" s="76">
        <v>7</v>
      </c>
      <c r="O56" s="76" t="s">
        <v>1848</v>
      </c>
      <c r="P56" s="76">
        <v>3</v>
      </c>
      <c r="Q56" s="76"/>
      <c r="R56" s="76"/>
      <c r="S56" s="76" t="s">
        <v>485</v>
      </c>
      <c r="T56" s="76">
        <v>2</v>
      </c>
      <c r="U56" s="76"/>
      <c r="V56" s="76"/>
    </row>
    <row r="57" spans="1:22" ht="15">
      <c r="A57" s="73" t="s">
        <v>1797</v>
      </c>
      <c r="B57" s="76">
        <v>15</v>
      </c>
      <c r="C57" s="76" t="s">
        <v>1799</v>
      </c>
      <c r="D57" s="76">
        <v>14</v>
      </c>
      <c r="E57" s="76" t="s">
        <v>1807</v>
      </c>
      <c r="F57" s="76">
        <v>2</v>
      </c>
      <c r="G57" s="76" t="s">
        <v>1797</v>
      </c>
      <c r="H57" s="76">
        <v>13</v>
      </c>
      <c r="I57" s="76" t="s">
        <v>1818</v>
      </c>
      <c r="J57" s="76">
        <v>4</v>
      </c>
      <c r="K57" s="76" t="s">
        <v>1828</v>
      </c>
      <c r="L57" s="76">
        <v>7</v>
      </c>
      <c r="M57" s="76" t="s">
        <v>1839</v>
      </c>
      <c r="N57" s="76">
        <v>7</v>
      </c>
      <c r="O57" s="76" t="s">
        <v>1849</v>
      </c>
      <c r="P57" s="76">
        <v>3</v>
      </c>
      <c r="Q57" s="76"/>
      <c r="R57" s="76"/>
      <c r="S57" s="76" t="s">
        <v>486</v>
      </c>
      <c r="T57" s="76">
        <v>2</v>
      </c>
      <c r="U57" s="76"/>
      <c r="V57" s="76"/>
    </row>
    <row r="58" spans="1:22" ht="15">
      <c r="A58" s="73" t="s">
        <v>1798</v>
      </c>
      <c r="B58" s="76">
        <v>14</v>
      </c>
      <c r="C58" s="76" t="s">
        <v>1800</v>
      </c>
      <c r="D58" s="76">
        <v>14</v>
      </c>
      <c r="E58" s="76" t="s">
        <v>1808</v>
      </c>
      <c r="F58" s="76">
        <v>2</v>
      </c>
      <c r="G58" s="76" t="s">
        <v>1795</v>
      </c>
      <c r="H58" s="76">
        <v>13</v>
      </c>
      <c r="I58" s="76" t="s">
        <v>1819</v>
      </c>
      <c r="J58" s="76">
        <v>4</v>
      </c>
      <c r="K58" s="76" t="s">
        <v>1829</v>
      </c>
      <c r="L58" s="76">
        <v>7</v>
      </c>
      <c r="M58" s="76" t="s">
        <v>490</v>
      </c>
      <c r="N58" s="76">
        <v>7</v>
      </c>
      <c r="O58" s="76" t="s">
        <v>1850</v>
      </c>
      <c r="P58" s="76">
        <v>3</v>
      </c>
      <c r="Q58" s="76"/>
      <c r="R58" s="76"/>
      <c r="S58" s="76" t="s">
        <v>487</v>
      </c>
      <c r="T58" s="76">
        <v>2</v>
      </c>
      <c r="U58" s="76"/>
      <c r="V58" s="76"/>
    </row>
    <row r="59" spans="1:22" ht="15">
      <c r="A59" s="73" t="s">
        <v>1799</v>
      </c>
      <c r="B59" s="76">
        <v>14</v>
      </c>
      <c r="C59" s="76" t="s">
        <v>1801</v>
      </c>
      <c r="D59" s="76">
        <v>14</v>
      </c>
      <c r="E59" s="76" t="s">
        <v>1809</v>
      </c>
      <c r="F59" s="76">
        <v>2</v>
      </c>
      <c r="G59" s="76" t="s">
        <v>483</v>
      </c>
      <c r="H59" s="76">
        <v>13</v>
      </c>
      <c r="I59" s="76" t="s">
        <v>1820</v>
      </c>
      <c r="J59" s="76">
        <v>4</v>
      </c>
      <c r="K59" s="76" t="s">
        <v>1830</v>
      </c>
      <c r="L59" s="76">
        <v>7</v>
      </c>
      <c r="M59" s="76" t="s">
        <v>1840</v>
      </c>
      <c r="N59" s="76">
        <v>7</v>
      </c>
      <c r="O59" s="76" t="s">
        <v>1851</v>
      </c>
      <c r="P59" s="76">
        <v>3</v>
      </c>
      <c r="Q59" s="76"/>
      <c r="R59" s="76"/>
      <c r="S59" s="76" t="s">
        <v>488</v>
      </c>
      <c r="T59" s="76">
        <v>2</v>
      </c>
      <c r="U59" s="76"/>
      <c r="V59" s="76"/>
    </row>
    <row r="60" spans="1:22" ht="15">
      <c r="A60" s="73" t="s">
        <v>1800</v>
      </c>
      <c r="B60" s="76">
        <v>14</v>
      </c>
      <c r="C60" s="76" t="s">
        <v>1802</v>
      </c>
      <c r="D60" s="76">
        <v>14</v>
      </c>
      <c r="E60" s="76"/>
      <c r="F60" s="76"/>
      <c r="G60" s="76" t="s">
        <v>1813</v>
      </c>
      <c r="H60" s="76">
        <v>13</v>
      </c>
      <c r="I60" s="76" t="s">
        <v>1821</v>
      </c>
      <c r="J60" s="76">
        <v>4</v>
      </c>
      <c r="K60" s="76" t="s">
        <v>1831</v>
      </c>
      <c r="L60" s="76">
        <v>7</v>
      </c>
      <c r="M60" s="76" t="s">
        <v>1841</v>
      </c>
      <c r="N60" s="76">
        <v>7</v>
      </c>
      <c r="O60" s="76" t="s">
        <v>1852</v>
      </c>
      <c r="P60" s="76">
        <v>3</v>
      </c>
      <c r="Q60" s="76"/>
      <c r="R60" s="76"/>
      <c r="S60" s="76" t="s">
        <v>489</v>
      </c>
      <c r="T60" s="76">
        <v>2</v>
      </c>
      <c r="U60" s="76"/>
      <c r="V60" s="76"/>
    </row>
    <row r="61" spans="1:22" ht="15">
      <c r="A61" s="73" t="s">
        <v>1801</v>
      </c>
      <c r="B61" s="76">
        <v>14</v>
      </c>
      <c r="C61" s="76" t="s">
        <v>1803</v>
      </c>
      <c r="D61" s="76">
        <v>14</v>
      </c>
      <c r="E61" s="76"/>
      <c r="F61" s="76"/>
      <c r="G61" s="76" t="s">
        <v>1814</v>
      </c>
      <c r="H61" s="76">
        <v>13</v>
      </c>
      <c r="I61" s="76" t="s">
        <v>1822</v>
      </c>
      <c r="J61" s="76">
        <v>4</v>
      </c>
      <c r="K61" s="76" t="s">
        <v>1832</v>
      </c>
      <c r="L61" s="76">
        <v>7</v>
      </c>
      <c r="M61" s="76" t="s">
        <v>1842</v>
      </c>
      <c r="N61" s="76">
        <v>5</v>
      </c>
      <c r="O61" s="76" t="s">
        <v>1853</v>
      </c>
      <c r="P61" s="76">
        <v>3</v>
      </c>
      <c r="Q61" s="76"/>
      <c r="R61" s="76"/>
      <c r="S61" s="76" t="s">
        <v>490</v>
      </c>
      <c r="T61" s="76">
        <v>2</v>
      </c>
      <c r="U61" s="76"/>
      <c r="V61" s="76"/>
    </row>
    <row r="62" spans="1:22" ht="15">
      <c r="A62" s="73" t="s">
        <v>1802</v>
      </c>
      <c r="B62" s="76">
        <v>14</v>
      </c>
      <c r="C62" s="76" t="s">
        <v>1804</v>
      </c>
      <c r="D62" s="76">
        <v>14</v>
      </c>
      <c r="E62" s="76"/>
      <c r="F62" s="76"/>
      <c r="G62" s="76" t="s">
        <v>1815</v>
      </c>
      <c r="H62" s="76">
        <v>13</v>
      </c>
      <c r="I62" s="76" t="s">
        <v>1823</v>
      </c>
      <c r="J62" s="76">
        <v>4</v>
      </c>
      <c r="K62" s="76" t="s">
        <v>1833</v>
      </c>
      <c r="L62" s="76">
        <v>7</v>
      </c>
      <c r="M62" s="76" t="s">
        <v>1843</v>
      </c>
      <c r="N62" s="76">
        <v>5</v>
      </c>
      <c r="O62" s="76" t="s">
        <v>1854</v>
      </c>
      <c r="P62" s="76">
        <v>3</v>
      </c>
      <c r="Q62" s="76"/>
      <c r="R62" s="76"/>
      <c r="S62" s="76" t="s">
        <v>491</v>
      </c>
      <c r="T62" s="76">
        <v>2</v>
      </c>
      <c r="U62" s="76"/>
      <c r="V62" s="76"/>
    </row>
    <row r="63" spans="1:22" ht="15">
      <c r="A63" s="73" t="s">
        <v>1803</v>
      </c>
      <c r="B63" s="76">
        <v>14</v>
      </c>
      <c r="C63" s="76" t="s">
        <v>1805</v>
      </c>
      <c r="D63" s="76">
        <v>14</v>
      </c>
      <c r="E63" s="76"/>
      <c r="F63" s="76"/>
      <c r="G63" s="76" t="s">
        <v>1816</v>
      </c>
      <c r="H63" s="76">
        <v>13</v>
      </c>
      <c r="I63" s="76" t="s">
        <v>1824</v>
      </c>
      <c r="J63" s="76">
        <v>2</v>
      </c>
      <c r="K63" s="76" t="s">
        <v>1834</v>
      </c>
      <c r="L63" s="76">
        <v>7</v>
      </c>
      <c r="M63" s="76" t="s">
        <v>1844</v>
      </c>
      <c r="N63" s="76">
        <v>5</v>
      </c>
      <c r="O63" s="76" t="s">
        <v>1855</v>
      </c>
      <c r="P63" s="76">
        <v>3</v>
      </c>
      <c r="Q63" s="76"/>
      <c r="R63" s="76"/>
      <c r="S63" s="76" t="s">
        <v>494</v>
      </c>
      <c r="T63" s="76">
        <v>2</v>
      </c>
      <c r="U63" s="76"/>
      <c r="V63" s="76"/>
    </row>
    <row r="66" spans="1:22" ht="14.4" customHeight="1">
      <c r="A66" s="13" t="s">
        <v>501</v>
      </c>
      <c r="B66" s="13" t="s">
        <v>452</v>
      </c>
      <c r="C66" s="67" t="s">
        <v>503</v>
      </c>
      <c r="D66" s="67" t="s">
        <v>455</v>
      </c>
      <c r="E66" s="67" t="s">
        <v>504</v>
      </c>
      <c r="F66" s="67" t="s">
        <v>457</v>
      </c>
      <c r="G66" s="67" t="s">
        <v>507</v>
      </c>
      <c r="H66" s="67" t="s">
        <v>459</v>
      </c>
      <c r="I66" s="67" t="s">
        <v>509</v>
      </c>
      <c r="J66" s="67" t="s">
        <v>1726</v>
      </c>
      <c r="K66" s="67" t="s">
        <v>1871</v>
      </c>
      <c r="L66" s="67" t="s">
        <v>1728</v>
      </c>
      <c r="M66" s="67" t="s">
        <v>1873</v>
      </c>
      <c r="N66" s="67" t="s">
        <v>1730</v>
      </c>
      <c r="O66" s="67" t="s">
        <v>1875</v>
      </c>
      <c r="P66" s="67" t="s">
        <v>1732</v>
      </c>
      <c r="Q66" s="67" t="s">
        <v>1877</v>
      </c>
      <c r="R66" s="67" t="s">
        <v>1735</v>
      </c>
      <c r="S66" s="67" t="s">
        <v>1879</v>
      </c>
      <c r="T66" s="67" t="s">
        <v>1737</v>
      </c>
      <c r="U66" s="13" t="s">
        <v>1881</v>
      </c>
      <c r="V66" s="13" t="s">
        <v>1738</v>
      </c>
    </row>
    <row r="67" spans="1:22" ht="15">
      <c r="A67" s="67" t="s">
        <v>653</v>
      </c>
      <c r="B67" s="67">
        <v>1</v>
      </c>
      <c r="C67" s="67"/>
      <c r="D67" s="67"/>
      <c r="E67" s="67"/>
      <c r="F67" s="67"/>
      <c r="G67" s="67"/>
      <c r="H67" s="67"/>
      <c r="I67" s="67"/>
      <c r="J67" s="67"/>
      <c r="K67" s="67"/>
      <c r="L67" s="67"/>
      <c r="M67" s="67"/>
      <c r="N67" s="67"/>
      <c r="O67" s="67"/>
      <c r="P67" s="67"/>
      <c r="Q67" s="67"/>
      <c r="R67" s="67"/>
      <c r="S67" s="67"/>
      <c r="T67" s="67"/>
      <c r="U67" s="67" t="s">
        <v>653</v>
      </c>
      <c r="V67" s="67">
        <v>1</v>
      </c>
    </row>
    <row r="68" spans="1:22" ht="15">
      <c r="A68" s="68" t="s">
        <v>643</v>
      </c>
      <c r="B68" s="67">
        <v>1</v>
      </c>
      <c r="C68" s="67"/>
      <c r="D68" s="67"/>
      <c r="E68" s="67"/>
      <c r="F68" s="67"/>
      <c r="G68" s="67"/>
      <c r="H68" s="67"/>
      <c r="I68" s="67"/>
      <c r="J68" s="67"/>
      <c r="K68" s="67"/>
      <c r="L68" s="67"/>
      <c r="M68" s="67"/>
      <c r="N68" s="67"/>
      <c r="O68" s="67"/>
      <c r="P68" s="67"/>
      <c r="Q68" s="67"/>
      <c r="R68" s="67"/>
      <c r="S68" s="67"/>
      <c r="T68" s="67"/>
      <c r="U68" s="67"/>
      <c r="V68" s="67"/>
    </row>
    <row r="71" spans="1:22" ht="14.4" customHeight="1">
      <c r="A71" s="13" t="s">
        <v>502</v>
      </c>
      <c r="B71" s="13" t="s">
        <v>452</v>
      </c>
      <c r="C71" s="67" t="s">
        <v>505</v>
      </c>
      <c r="D71" s="67" t="s">
        <v>455</v>
      </c>
      <c r="E71" s="67" t="s">
        <v>506</v>
      </c>
      <c r="F71" s="67" t="s">
        <v>457</v>
      </c>
      <c r="G71" s="67" t="s">
        <v>508</v>
      </c>
      <c r="H71" s="67" t="s">
        <v>459</v>
      </c>
      <c r="I71" s="13" t="s">
        <v>510</v>
      </c>
      <c r="J71" s="13" t="s">
        <v>1726</v>
      </c>
      <c r="K71" s="67" t="s">
        <v>1872</v>
      </c>
      <c r="L71" s="67" t="s">
        <v>1728</v>
      </c>
      <c r="M71" s="13" t="s">
        <v>1874</v>
      </c>
      <c r="N71" s="13" t="s">
        <v>1730</v>
      </c>
      <c r="O71" s="13" t="s">
        <v>1876</v>
      </c>
      <c r="P71" s="13" t="s">
        <v>1732</v>
      </c>
      <c r="Q71" s="13" t="s">
        <v>1878</v>
      </c>
      <c r="R71" s="13" t="s">
        <v>1735</v>
      </c>
      <c r="S71" s="13" t="s">
        <v>1880</v>
      </c>
      <c r="T71" s="13" t="s">
        <v>1737</v>
      </c>
      <c r="U71" s="13" t="s">
        <v>1882</v>
      </c>
      <c r="V71" s="13" t="s">
        <v>1738</v>
      </c>
    </row>
    <row r="72" spans="1:22" ht="15">
      <c r="A72" s="67" t="s">
        <v>642</v>
      </c>
      <c r="B72" s="67">
        <v>6</v>
      </c>
      <c r="C72" s="67"/>
      <c r="D72" s="67"/>
      <c r="E72" s="67"/>
      <c r="F72" s="67"/>
      <c r="G72" s="67"/>
      <c r="H72" s="67"/>
      <c r="I72" s="67" t="s">
        <v>642</v>
      </c>
      <c r="J72" s="67">
        <v>6</v>
      </c>
      <c r="K72" s="67"/>
      <c r="L72" s="67"/>
      <c r="M72" s="67" t="s">
        <v>570</v>
      </c>
      <c r="N72" s="67">
        <v>5</v>
      </c>
      <c r="O72" s="67" t="s">
        <v>641</v>
      </c>
      <c r="P72" s="67">
        <v>3</v>
      </c>
      <c r="Q72" s="67" t="s">
        <v>647</v>
      </c>
      <c r="R72" s="67">
        <v>1</v>
      </c>
      <c r="S72" s="67" t="s">
        <v>261</v>
      </c>
      <c r="T72" s="67">
        <v>2</v>
      </c>
      <c r="U72" s="67" t="s">
        <v>652</v>
      </c>
      <c r="V72" s="67">
        <v>1</v>
      </c>
    </row>
    <row r="73" spans="1:22" ht="15">
      <c r="A73" s="68" t="s">
        <v>570</v>
      </c>
      <c r="B73" s="67">
        <v>5</v>
      </c>
      <c r="C73" s="67"/>
      <c r="D73" s="67"/>
      <c r="E73" s="67"/>
      <c r="F73" s="67"/>
      <c r="G73" s="67"/>
      <c r="H73" s="67"/>
      <c r="I73" s="67"/>
      <c r="J73" s="67"/>
      <c r="K73" s="67"/>
      <c r="L73" s="67"/>
      <c r="M73" s="67"/>
      <c r="N73" s="67"/>
      <c r="O73" s="67" t="s">
        <v>640</v>
      </c>
      <c r="P73" s="67">
        <v>3</v>
      </c>
      <c r="Q73" s="67" t="s">
        <v>646</v>
      </c>
      <c r="R73" s="67">
        <v>1</v>
      </c>
      <c r="S73" s="67"/>
      <c r="T73" s="67"/>
      <c r="U73" s="67"/>
      <c r="V73" s="67"/>
    </row>
    <row r="74" spans="1:22" ht="15">
      <c r="A74" s="68" t="s">
        <v>641</v>
      </c>
      <c r="B74" s="67">
        <v>3</v>
      </c>
      <c r="C74" s="67"/>
      <c r="D74" s="67"/>
      <c r="E74" s="67"/>
      <c r="F74" s="67"/>
      <c r="G74" s="67"/>
      <c r="H74" s="67"/>
      <c r="I74" s="67"/>
      <c r="J74" s="67"/>
      <c r="K74" s="67"/>
      <c r="L74" s="67"/>
      <c r="M74" s="67"/>
      <c r="N74" s="67"/>
      <c r="O74" s="67"/>
      <c r="P74" s="67"/>
      <c r="Q74" s="67" t="s">
        <v>645</v>
      </c>
      <c r="R74" s="67">
        <v>1</v>
      </c>
      <c r="S74" s="67"/>
      <c r="T74" s="67"/>
      <c r="U74" s="67"/>
      <c r="V74" s="67"/>
    </row>
    <row r="75" spans="1:22" ht="15">
      <c r="A75" s="68" t="s">
        <v>640</v>
      </c>
      <c r="B75" s="67">
        <v>3</v>
      </c>
      <c r="C75" s="67"/>
      <c r="D75" s="67"/>
      <c r="E75" s="67"/>
      <c r="F75" s="67"/>
      <c r="G75" s="67"/>
      <c r="H75" s="67"/>
      <c r="I75" s="67"/>
      <c r="J75" s="67"/>
      <c r="K75" s="67"/>
      <c r="L75" s="67"/>
      <c r="M75" s="67"/>
      <c r="N75" s="67"/>
      <c r="O75" s="67"/>
      <c r="P75" s="67"/>
      <c r="Q75" s="67"/>
      <c r="R75" s="67"/>
      <c r="S75" s="67"/>
      <c r="T75" s="67"/>
      <c r="U75" s="67"/>
      <c r="V75" s="67"/>
    </row>
    <row r="76" spans="1:22" ht="15">
      <c r="A76" s="68" t="s">
        <v>261</v>
      </c>
      <c r="B76" s="67">
        <v>2</v>
      </c>
      <c r="C76" s="67"/>
      <c r="D76" s="67"/>
      <c r="E76" s="67"/>
      <c r="F76" s="67"/>
      <c r="G76" s="67"/>
      <c r="H76" s="67"/>
      <c r="I76" s="67"/>
      <c r="J76" s="67"/>
      <c r="K76" s="67"/>
      <c r="L76" s="67"/>
      <c r="M76" s="67"/>
      <c r="N76" s="67"/>
      <c r="O76" s="67"/>
      <c r="P76" s="67"/>
      <c r="Q76" s="67"/>
      <c r="R76" s="67"/>
      <c r="S76" s="67"/>
      <c r="T76" s="67"/>
      <c r="U76" s="67"/>
      <c r="V76" s="67"/>
    </row>
    <row r="77" spans="1:22" ht="15">
      <c r="A77" s="68" t="s">
        <v>649</v>
      </c>
      <c r="B77" s="67">
        <v>2</v>
      </c>
      <c r="C77" s="67"/>
      <c r="D77" s="67"/>
      <c r="E77" s="67"/>
      <c r="F77" s="67"/>
      <c r="G77" s="67"/>
      <c r="H77" s="67"/>
      <c r="I77" s="67"/>
      <c r="J77" s="67"/>
      <c r="K77" s="67"/>
      <c r="L77" s="67"/>
      <c r="M77" s="67"/>
      <c r="N77" s="67"/>
      <c r="O77" s="67"/>
      <c r="P77" s="67"/>
      <c r="Q77" s="67"/>
      <c r="R77" s="67"/>
      <c r="S77" s="67"/>
      <c r="T77" s="67"/>
      <c r="U77" s="67"/>
      <c r="V77" s="67"/>
    </row>
    <row r="78" spans="1:22" ht="15">
      <c r="A78" s="68" t="s">
        <v>638</v>
      </c>
      <c r="B78" s="67">
        <v>2</v>
      </c>
      <c r="C78" s="67"/>
      <c r="D78" s="67"/>
      <c r="E78" s="67"/>
      <c r="F78" s="67"/>
      <c r="G78" s="67"/>
      <c r="H78" s="67"/>
      <c r="I78" s="67"/>
      <c r="J78" s="67"/>
      <c r="K78" s="67"/>
      <c r="L78" s="67"/>
      <c r="M78" s="67"/>
      <c r="N78" s="67"/>
      <c r="O78" s="67"/>
      <c r="P78" s="67"/>
      <c r="Q78" s="67"/>
      <c r="R78" s="67"/>
      <c r="S78" s="67"/>
      <c r="T78" s="67"/>
      <c r="U78" s="67"/>
      <c r="V78" s="67"/>
    </row>
    <row r="79" spans="1:22" ht="15">
      <c r="A79" s="68" t="s">
        <v>652</v>
      </c>
      <c r="B79" s="67">
        <v>1</v>
      </c>
      <c r="C79" s="67"/>
      <c r="D79" s="67"/>
      <c r="E79" s="67"/>
      <c r="F79" s="67"/>
      <c r="G79" s="67"/>
      <c r="H79" s="67"/>
      <c r="I79" s="67"/>
      <c r="J79" s="67"/>
      <c r="K79" s="67"/>
      <c r="L79" s="67"/>
      <c r="M79" s="67"/>
      <c r="N79" s="67"/>
      <c r="O79" s="67"/>
      <c r="P79" s="67"/>
      <c r="Q79" s="67"/>
      <c r="R79" s="67"/>
      <c r="S79" s="67"/>
      <c r="T79" s="67"/>
      <c r="U79" s="67"/>
      <c r="V79" s="67"/>
    </row>
    <row r="80" spans="1:22" ht="15">
      <c r="A80" s="68" t="s">
        <v>651</v>
      </c>
      <c r="B80" s="67">
        <v>1</v>
      </c>
      <c r="C80" s="67"/>
      <c r="D80" s="67"/>
      <c r="E80" s="67"/>
      <c r="F80" s="67"/>
      <c r="G80" s="67"/>
      <c r="H80" s="67"/>
      <c r="I80" s="67"/>
      <c r="J80" s="67"/>
      <c r="K80" s="67"/>
      <c r="L80" s="67"/>
      <c r="M80" s="67"/>
      <c r="N80" s="67"/>
      <c r="O80" s="67"/>
      <c r="P80" s="67"/>
      <c r="Q80" s="67"/>
      <c r="R80" s="67"/>
      <c r="S80" s="67"/>
      <c r="T80" s="67"/>
      <c r="U80" s="67"/>
      <c r="V80" s="67"/>
    </row>
    <row r="81" spans="1:22" ht="15">
      <c r="A81" s="68" t="s">
        <v>650</v>
      </c>
      <c r="B81" s="67">
        <v>1</v>
      </c>
      <c r="C81" s="67"/>
      <c r="D81" s="67"/>
      <c r="E81" s="67"/>
      <c r="F81" s="67"/>
      <c r="G81" s="67"/>
      <c r="H81" s="67"/>
      <c r="I81" s="67"/>
      <c r="J81" s="67"/>
      <c r="K81" s="67"/>
      <c r="L81" s="67"/>
      <c r="M81" s="67"/>
      <c r="N81" s="67"/>
      <c r="O81" s="67"/>
      <c r="P81" s="67"/>
      <c r="Q81" s="67"/>
      <c r="R81" s="67"/>
      <c r="S81" s="67"/>
      <c r="T81" s="67"/>
      <c r="U81" s="67"/>
      <c r="V81" s="67"/>
    </row>
    <row r="84" spans="1:22" ht="14.4" customHeight="1">
      <c r="A84" s="13" t="s">
        <v>513</v>
      </c>
      <c r="B84" s="13" t="s">
        <v>452</v>
      </c>
      <c r="C84" s="13" t="s">
        <v>514</v>
      </c>
      <c r="D84" s="13" t="s">
        <v>455</v>
      </c>
      <c r="E84" s="13" t="s">
        <v>515</v>
      </c>
      <c r="F84" s="13" t="s">
        <v>457</v>
      </c>
      <c r="G84" s="13" t="s">
        <v>516</v>
      </c>
      <c r="H84" s="13" t="s">
        <v>459</v>
      </c>
      <c r="I84" s="13" t="s">
        <v>517</v>
      </c>
      <c r="J84" s="13" t="s">
        <v>1726</v>
      </c>
      <c r="K84" s="13" t="s">
        <v>1885</v>
      </c>
      <c r="L84" s="13" t="s">
        <v>1728</v>
      </c>
      <c r="M84" s="13" t="s">
        <v>1886</v>
      </c>
      <c r="N84" s="13" t="s">
        <v>1730</v>
      </c>
      <c r="O84" s="13" t="s">
        <v>1887</v>
      </c>
      <c r="P84" s="13" t="s">
        <v>1732</v>
      </c>
      <c r="Q84" s="13" t="s">
        <v>1888</v>
      </c>
      <c r="R84" s="13" t="s">
        <v>1735</v>
      </c>
      <c r="S84" s="13" t="s">
        <v>1889</v>
      </c>
      <c r="T84" s="13" t="s">
        <v>1737</v>
      </c>
      <c r="U84" s="13" t="s">
        <v>1890</v>
      </c>
      <c r="V84" s="13" t="s">
        <v>1738</v>
      </c>
    </row>
    <row r="85" spans="1:22" ht="15">
      <c r="A85" s="83" t="s">
        <v>619</v>
      </c>
      <c r="B85" s="67">
        <v>1327607</v>
      </c>
      <c r="C85" s="83" t="s">
        <v>578</v>
      </c>
      <c r="D85" s="67">
        <v>188463</v>
      </c>
      <c r="E85" s="83" t="s">
        <v>550</v>
      </c>
      <c r="F85" s="67">
        <v>59167</v>
      </c>
      <c r="G85" s="83" t="s">
        <v>592</v>
      </c>
      <c r="H85" s="67">
        <v>120352</v>
      </c>
      <c r="I85" s="83" t="s">
        <v>564</v>
      </c>
      <c r="J85" s="67">
        <v>380509</v>
      </c>
      <c r="K85" s="83" t="s">
        <v>561</v>
      </c>
      <c r="L85" s="67">
        <v>176964</v>
      </c>
      <c r="M85" s="83" t="s">
        <v>568</v>
      </c>
      <c r="N85" s="67">
        <v>188214</v>
      </c>
      <c r="O85" s="83" t="s">
        <v>555</v>
      </c>
      <c r="P85" s="67">
        <v>353151</v>
      </c>
      <c r="Q85" s="83" t="s">
        <v>646</v>
      </c>
      <c r="R85" s="67">
        <v>45327</v>
      </c>
      <c r="S85" s="83" t="s">
        <v>261</v>
      </c>
      <c r="T85" s="67">
        <v>227815</v>
      </c>
      <c r="U85" s="83" t="s">
        <v>652</v>
      </c>
      <c r="V85" s="67">
        <v>373320</v>
      </c>
    </row>
    <row r="86" spans="1:22" ht="15">
      <c r="A86" s="85" t="s">
        <v>564</v>
      </c>
      <c r="B86" s="67">
        <v>380509</v>
      </c>
      <c r="C86" s="83" t="s">
        <v>593</v>
      </c>
      <c r="D86" s="67">
        <v>157126</v>
      </c>
      <c r="E86" s="83" t="s">
        <v>606</v>
      </c>
      <c r="F86" s="67">
        <v>46280</v>
      </c>
      <c r="G86" s="83" t="s">
        <v>588</v>
      </c>
      <c r="H86" s="67">
        <v>87400</v>
      </c>
      <c r="I86" s="83" t="s">
        <v>565</v>
      </c>
      <c r="J86" s="67">
        <v>44254</v>
      </c>
      <c r="K86" s="83" t="s">
        <v>558</v>
      </c>
      <c r="L86" s="67">
        <v>32945</v>
      </c>
      <c r="M86" s="83" t="s">
        <v>571</v>
      </c>
      <c r="N86" s="67">
        <v>115976</v>
      </c>
      <c r="O86" s="83" t="s">
        <v>554</v>
      </c>
      <c r="P86" s="67">
        <v>346130</v>
      </c>
      <c r="Q86" s="83" t="s">
        <v>647</v>
      </c>
      <c r="R86" s="67">
        <v>36381</v>
      </c>
      <c r="S86" s="83" t="s">
        <v>259</v>
      </c>
      <c r="T86" s="67">
        <v>174236</v>
      </c>
      <c r="U86" s="83" t="s">
        <v>653</v>
      </c>
      <c r="V86" s="67">
        <v>1155</v>
      </c>
    </row>
    <row r="87" spans="1:22" ht="15">
      <c r="A87" s="85" t="s">
        <v>652</v>
      </c>
      <c r="B87" s="67">
        <v>373320</v>
      </c>
      <c r="C87" s="83" t="s">
        <v>575</v>
      </c>
      <c r="D87" s="67">
        <v>115948</v>
      </c>
      <c r="E87" s="83" t="s">
        <v>602</v>
      </c>
      <c r="F87" s="67">
        <v>35450</v>
      </c>
      <c r="G87" s="83" t="s">
        <v>614</v>
      </c>
      <c r="H87" s="67">
        <v>81012</v>
      </c>
      <c r="I87" s="83" t="s">
        <v>604</v>
      </c>
      <c r="J87" s="67">
        <v>28424</v>
      </c>
      <c r="K87" s="83" t="s">
        <v>557</v>
      </c>
      <c r="L87" s="67">
        <v>25071</v>
      </c>
      <c r="M87" s="83" t="s">
        <v>569</v>
      </c>
      <c r="N87" s="67">
        <v>34647</v>
      </c>
      <c r="O87" s="83" t="s">
        <v>556</v>
      </c>
      <c r="P87" s="67">
        <v>20785</v>
      </c>
      <c r="Q87" s="83" t="s">
        <v>645</v>
      </c>
      <c r="R87" s="67">
        <v>36367</v>
      </c>
      <c r="S87" s="83" t="s">
        <v>258</v>
      </c>
      <c r="T87" s="67">
        <v>13703</v>
      </c>
      <c r="U87" s="83" t="s">
        <v>631</v>
      </c>
      <c r="V87" s="67">
        <v>60</v>
      </c>
    </row>
    <row r="88" spans="1:22" ht="15">
      <c r="A88" s="85" t="s">
        <v>555</v>
      </c>
      <c r="B88" s="67">
        <v>353151</v>
      </c>
      <c r="C88" s="83" t="s">
        <v>594</v>
      </c>
      <c r="D88" s="67">
        <v>95696</v>
      </c>
      <c r="E88" s="83" t="s">
        <v>601</v>
      </c>
      <c r="F88" s="67">
        <v>33668</v>
      </c>
      <c r="G88" s="83" t="s">
        <v>579</v>
      </c>
      <c r="H88" s="67">
        <v>63736</v>
      </c>
      <c r="I88" s="83" t="s">
        <v>603</v>
      </c>
      <c r="J88" s="67">
        <v>20281</v>
      </c>
      <c r="K88" s="83" t="s">
        <v>559</v>
      </c>
      <c r="L88" s="67">
        <v>23576</v>
      </c>
      <c r="M88" s="83" t="s">
        <v>567</v>
      </c>
      <c r="N88" s="67">
        <v>24815</v>
      </c>
      <c r="O88" s="83" t="s">
        <v>641</v>
      </c>
      <c r="P88" s="67">
        <v>11729</v>
      </c>
      <c r="Q88" s="83" t="s">
        <v>610</v>
      </c>
      <c r="R88" s="67">
        <v>10963</v>
      </c>
      <c r="S88" s="83"/>
      <c r="T88" s="67"/>
      <c r="U88" s="83"/>
      <c r="V88" s="67"/>
    </row>
    <row r="89" spans="1:22" ht="15">
      <c r="A89" s="85" t="s">
        <v>554</v>
      </c>
      <c r="B89" s="67">
        <v>346130</v>
      </c>
      <c r="C89" s="83" t="s">
        <v>595</v>
      </c>
      <c r="D89" s="67">
        <v>94223</v>
      </c>
      <c r="E89" s="83" t="s">
        <v>635</v>
      </c>
      <c r="F89" s="67">
        <v>31440</v>
      </c>
      <c r="G89" s="83" t="s">
        <v>591</v>
      </c>
      <c r="H89" s="67">
        <v>25388</v>
      </c>
      <c r="I89" s="83" t="s">
        <v>642</v>
      </c>
      <c r="J89" s="67">
        <v>1036</v>
      </c>
      <c r="K89" s="83" t="s">
        <v>562</v>
      </c>
      <c r="L89" s="67">
        <v>15262</v>
      </c>
      <c r="M89" s="83" t="s">
        <v>570</v>
      </c>
      <c r="N89" s="67">
        <v>3218</v>
      </c>
      <c r="O89" s="83" t="s">
        <v>640</v>
      </c>
      <c r="P89" s="67">
        <v>8418</v>
      </c>
      <c r="Q89" s="83"/>
      <c r="R89" s="67"/>
      <c r="S89" s="83"/>
      <c r="T89" s="67"/>
      <c r="U89" s="83"/>
      <c r="V89" s="67"/>
    </row>
    <row r="90" spans="1:22" ht="15">
      <c r="A90" s="85" t="s">
        <v>586</v>
      </c>
      <c r="B90" s="67">
        <v>273656</v>
      </c>
      <c r="C90" s="83" t="s">
        <v>597</v>
      </c>
      <c r="D90" s="67">
        <v>86358</v>
      </c>
      <c r="E90" s="83" t="s">
        <v>607</v>
      </c>
      <c r="F90" s="67">
        <v>26197</v>
      </c>
      <c r="G90" s="83" t="s">
        <v>626</v>
      </c>
      <c r="H90" s="67">
        <v>23572</v>
      </c>
      <c r="I90" s="83" t="s">
        <v>566</v>
      </c>
      <c r="J90" s="67">
        <v>725</v>
      </c>
      <c r="K90" s="83" t="s">
        <v>560</v>
      </c>
      <c r="L90" s="67">
        <v>2068</v>
      </c>
      <c r="M90" s="83"/>
      <c r="N90" s="67"/>
      <c r="O90" s="83"/>
      <c r="P90" s="67"/>
      <c r="Q90" s="83"/>
      <c r="R90" s="67"/>
      <c r="S90" s="83"/>
      <c r="T90" s="67"/>
      <c r="U90" s="83"/>
      <c r="V90" s="67"/>
    </row>
    <row r="91" spans="1:22" ht="15">
      <c r="A91" s="85" t="s">
        <v>261</v>
      </c>
      <c r="B91" s="67">
        <v>227815</v>
      </c>
      <c r="C91" s="83" t="s">
        <v>577</v>
      </c>
      <c r="D91" s="67">
        <v>53522</v>
      </c>
      <c r="E91" s="83" t="s">
        <v>257</v>
      </c>
      <c r="F91" s="67">
        <v>12856</v>
      </c>
      <c r="G91" s="83" t="s">
        <v>583</v>
      </c>
      <c r="H91" s="67">
        <v>21981</v>
      </c>
      <c r="I91" s="83"/>
      <c r="J91" s="67"/>
      <c r="K91" s="83"/>
      <c r="L91" s="67"/>
      <c r="M91" s="83"/>
      <c r="N91" s="67"/>
      <c r="O91" s="83"/>
      <c r="P91" s="67"/>
      <c r="Q91" s="83"/>
      <c r="R91" s="67"/>
      <c r="S91" s="83"/>
      <c r="T91" s="67"/>
      <c r="U91" s="83"/>
      <c r="V91" s="67"/>
    </row>
    <row r="92" spans="1:22" ht="15">
      <c r="A92" s="85" t="s">
        <v>617</v>
      </c>
      <c r="B92" s="67">
        <v>195070</v>
      </c>
      <c r="C92" s="83" t="s">
        <v>630</v>
      </c>
      <c r="D92" s="67">
        <v>41805</v>
      </c>
      <c r="E92" s="83" t="s">
        <v>553</v>
      </c>
      <c r="F92" s="67">
        <v>10624</v>
      </c>
      <c r="G92" s="83" t="s">
        <v>584</v>
      </c>
      <c r="H92" s="67">
        <v>21382</v>
      </c>
      <c r="I92" s="83"/>
      <c r="J92" s="67"/>
      <c r="K92" s="83"/>
      <c r="L92" s="67"/>
      <c r="M92" s="83"/>
      <c r="N92" s="67"/>
      <c r="O92" s="83"/>
      <c r="P92" s="67"/>
      <c r="Q92" s="83"/>
      <c r="R92" s="67"/>
      <c r="S92" s="83"/>
      <c r="T92" s="67"/>
      <c r="U92" s="83"/>
      <c r="V92" s="67"/>
    </row>
    <row r="93" spans="1:22" ht="15">
      <c r="A93" s="85" t="s">
        <v>578</v>
      </c>
      <c r="B93" s="67">
        <v>188463</v>
      </c>
      <c r="C93" s="83" t="s">
        <v>612</v>
      </c>
      <c r="D93" s="67">
        <v>32290</v>
      </c>
      <c r="E93" s="83" t="s">
        <v>634</v>
      </c>
      <c r="F93" s="67">
        <v>8369</v>
      </c>
      <c r="G93" s="83" t="s">
        <v>589</v>
      </c>
      <c r="H93" s="67">
        <v>7347</v>
      </c>
      <c r="I93" s="83"/>
      <c r="J93" s="67"/>
      <c r="K93" s="83"/>
      <c r="L93" s="67"/>
      <c r="M93" s="83"/>
      <c r="N93" s="67"/>
      <c r="O93" s="83"/>
      <c r="P93" s="67"/>
      <c r="Q93" s="83"/>
      <c r="R93" s="67"/>
      <c r="S93" s="83"/>
      <c r="T93" s="67"/>
      <c r="U93" s="83"/>
      <c r="V93" s="67"/>
    </row>
    <row r="94" spans="1:22" ht="15">
      <c r="A94" s="85" t="s">
        <v>568</v>
      </c>
      <c r="B94" s="67">
        <v>188214</v>
      </c>
      <c r="C94" s="83" t="s">
        <v>585</v>
      </c>
      <c r="D94" s="67">
        <v>25909</v>
      </c>
      <c r="E94" s="83" t="s">
        <v>551</v>
      </c>
      <c r="F94" s="67">
        <v>7595</v>
      </c>
      <c r="G94" s="83" t="s">
        <v>581</v>
      </c>
      <c r="H94" s="67">
        <v>6006</v>
      </c>
      <c r="I94" s="83"/>
      <c r="J94" s="67"/>
      <c r="K94" s="83"/>
      <c r="L94" s="67"/>
      <c r="M94" s="83"/>
      <c r="N94" s="67"/>
      <c r="O94" s="83"/>
      <c r="P94" s="67"/>
      <c r="Q94" s="83"/>
      <c r="R94" s="67"/>
      <c r="S94" s="83"/>
      <c r="T94" s="67"/>
      <c r="U94" s="83"/>
      <c r="V94" s="67"/>
    </row>
  </sheetData>
  <hyperlinks>
    <hyperlink ref="A2" r:id="rId1" display="https://www.newshub.co.nz/home/politics/2022/05/emissions-reduction-plan-transport-takes-leading-role-with-scrap-and-replace-low-emission-vehicle-leasing-trials-announced.html"/>
    <hyperlink ref="A3" r:id="rId2" display="https://www.rnz.co.nz/news/political/467287/national-leader-christopher-luxon-says-no-to-corporate-welfare-for-climate-emission-reductions"/>
    <hyperlink ref="A4" r:id="rId3" display="https://www.theepochtimes.com/new-zealand-government-to-use-emission-trading-scheme-to-fund-ev-rollout_4471459.html?utm_source=ref_share&amp;utm_campaign=tw&amp;rs=SHRNRRCV"/>
    <hyperlink ref="A5" r:id="rId4" display="https://truthusa.us/business-news/new-zealand-government-to-use-emission-trading-scheme-to-fund-ev-rollout/"/>
    <hyperlink ref="A6" r:id="rId5" display="https://thespinoff.co.nz/politics/17-05-2022/the-erp-is-a-step-in-the-right-direction-but-wheres-the-ambition"/>
    <hyperlink ref="A7" r:id="rId6" display="https://twitter.com/CriticalMassAKL/status/1526028961393745921"/>
    <hyperlink ref="A8" r:id="rId7" display="https://www.newstalkzb.co.nz/on-air/mike-hosking-breakfast/audio/tim-mackle-and-adrian-macey-dairy-nz-ceo-and-victoria-university-climate-expert-on-whats-needed-and-expected-from-todays-emission-reduction-plan/"/>
    <hyperlink ref="A9" r:id="rId8" display="https://www.newshub.co.nz/home/politics/2022/05/emissions-reduction-plan-transport-takes-leading-role-with-scrap-and-replace-low-emission-vehicle-leasing-trials-announced.html?utm_source=dlvr.it&amp;utm_medium=twitter"/>
    <hyperlink ref="A10" r:id="rId9" display="https://www.rnz.co.nz/news/business/466954/solar-power-companies-plan-to-start-building-at-multiple-sites"/>
    <hyperlink ref="A11" r:id="rId10" display="http://dlrppn.ie/invitation-to-launch-of-the-results-of-the-dublin-region-energy-master-plan/"/>
    <hyperlink ref="E2" r:id="rId11" display="https://www.beehive.govt.nz/release/aotearoa-sets-course-net-zero-first-three-emissions-budgets?utm_campaign=coschedule&amp;utm_source=twitter&amp;utm_medium=ToituEnvirocare"/>
    <hyperlink ref="E3" r:id="rId12" display="https://unglobalcompact.org/take-action/climate-ambition-accelerator"/>
    <hyperlink ref="E4" r:id="rId13" display="https://lawlerconsulting.com/your-road-to-net-zero-in-2022/"/>
    <hyperlink ref="E5" r:id="rId14" display="https://www.stuff.co.nz/national/politics/opinion/128635128/the-new-emission-reduction-plan-will-reveal-just-how-much-we-care-about-climate.html?utm_source=dlvr.it&amp;utm_medium=twitter"/>
    <hyperlink ref="E6" r:id="rId15" display="https://www.stuff.co.nz/national/politics/opinion/128635128/the-new-emission-reduction-plan-will-reveal-just-how-much-we-care-about-climate"/>
    <hyperlink ref="E7" r:id="rId16" display="https://www.stuff.co.nz/environment/climate-news/128657390/emission-reduction-plan-govts-100km-commitment-to-safe-cycling-unambitious.html?utm_source=dlvr.it&amp;utm_medium=twitter"/>
    <hyperlink ref="E8" r:id="rId17" display="https://environment.govt.nz/assets/publications/Aotearoa-New-Zealands-first-emissions-reduction-plan.pdf"/>
    <hyperlink ref="E9" r:id="rId18" display="https://twitter.com/nashthomas/status/1526091823403241472"/>
    <hyperlink ref="E10" r:id="rId19" display="https://twitter.com/environmentgvnz/status/1525989421895532544"/>
    <hyperlink ref="E11" r:id="rId20" display="https://businessdesk.co.nz/article/climate-change/concrete-govt-eyes-carbon-border-tax"/>
    <hyperlink ref="I2" r:id="rId21" display="https://twitter.com/CriticalMassAKL/status/1526028961393745921"/>
    <hyperlink ref="M2" r:id="rId22" display="https://www.newshub.co.nz/home/politics/2022/05/emissions-reduction-plan-transport-takes-leading-role-with-scrap-and-replace-low-emission-vehicle-leasing-trials-announced.html"/>
    <hyperlink ref="M3" r:id="rId23" display="https://www.newshub.co.nz/home/politics/2022/05/emissions-reduction-plan-transport-takes-leading-role-with-scrap-and-replace-low-emission-vehicle-leasing-trials-announced.html?utm_source=dlvr.it&amp;utm_medium=twitter"/>
    <hyperlink ref="Q2" r:id="rId24" display="https://www.theguardian.com/world/2022/may/16/help-to-buy-evs-in-landmark-new-zealand-net-zero-climate-plan"/>
    <hyperlink ref="S2" r:id="rId25" display="https://www.theepochtimes.com/new-zealand-government-to-use-emission-trading-scheme-to-fund-ev-rollout_4471459.html?utm_source=ref_share&amp;utm_campaign=tw&amp;rs=SHRNRRCV"/>
  </hyperlinks>
  <printOptions/>
  <pageMargins left="0.7" right="0.7" top="0.75" bottom="0.75" header="0.3" footer="0.3"/>
  <pageSetup orientation="portrait" paperSize="9"/>
  <tableParts>
    <tablePart r:id="rId32"/>
    <tablePart r:id="rId28"/>
    <tablePart r:id="rId29"/>
    <tablePart r:id="rId30"/>
    <tablePart r:id="rId33"/>
    <tablePart r:id="rId31"/>
    <tablePart r:id="rId27"/>
    <tablePart r:id="rId2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BF836-AA1E-40A8-8C9F-B5C583333FEF}">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17.7109375" style="0" bestFit="1" customWidth="1"/>
    <col min="59" max="59" width="22.140625" style="0" bestFit="1" customWidth="1"/>
    <col min="60" max="60" width="17.7109375" style="0" bestFit="1" customWidth="1"/>
    <col min="61" max="61" width="22.140625" style="0" bestFit="1" customWidth="1"/>
    <col min="62" max="62" width="17.7109375" style="0" bestFit="1" customWidth="1"/>
    <col min="63" max="63" width="22.140625" style="0" bestFit="1" customWidth="1"/>
    <col min="64" max="64" width="16.8515625" style="0" bestFit="1" customWidth="1"/>
    <col min="65" max="65" width="20.57421875" style="0" bestFit="1" customWidth="1"/>
    <col min="66" max="66" width="14.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339</v>
      </c>
      <c r="BD2" s="13" t="s">
        <v>347</v>
      </c>
      <c r="BE2" s="13" t="s">
        <v>348</v>
      </c>
      <c r="BF2" s="54" t="s">
        <v>402</v>
      </c>
      <c r="BG2" s="54" t="s">
        <v>403</v>
      </c>
      <c r="BH2" s="54" t="s">
        <v>404</v>
      </c>
      <c r="BI2" s="54" t="s">
        <v>405</v>
      </c>
      <c r="BJ2" s="54" t="s">
        <v>406</v>
      </c>
      <c r="BK2" s="54" t="s">
        <v>407</v>
      </c>
      <c r="BL2" s="54" t="s">
        <v>408</v>
      </c>
      <c r="BM2" s="54" t="s">
        <v>409</v>
      </c>
      <c r="BN2" s="54" t="s">
        <v>410</v>
      </c>
    </row>
    <row r="3" spans="1:66" ht="15" customHeight="1">
      <c r="A3" s="66" t="s">
        <v>637</v>
      </c>
      <c r="B3" s="66" t="s">
        <v>637</v>
      </c>
      <c r="C3" s="84"/>
      <c r="D3" s="94"/>
      <c r="E3" s="95"/>
      <c r="F3" s="96"/>
      <c r="G3" s="84"/>
      <c r="H3" s="82"/>
      <c r="I3" s="97"/>
      <c r="J3" s="97"/>
      <c r="K3" s="35" t="s">
        <v>65</v>
      </c>
      <c r="L3" s="98">
        <v>3</v>
      </c>
      <c r="M3" s="98"/>
      <c r="N3" s="99"/>
      <c r="O3" s="67" t="s">
        <v>218</v>
      </c>
      <c r="P3" s="69">
        <v>44691.95145833334</v>
      </c>
      <c r="Q3" s="67" t="s">
        <v>698</v>
      </c>
      <c r="R3" s="71" t="str">
        <f>HYPERLINK("https://www.beehive.govt.nz/release/aotearoa-sets-course-net-zero-first-three-emissions-budgets?utm_campaign=coschedule&amp;utm_source=twitter&amp;utm_medium=ToituEnvirocare")</f>
        <v>https://www.beehive.govt.nz/release/aotearoa-sets-course-net-zero-first-three-emissions-budgets?utm_campaign=coschedule&amp;utm_source=twitter&amp;utm_medium=ToituEnvirocare</v>
      </c>
      <c r="S3" s="67" t="s">
        <v>703</v>
      </c>
      <c r="T3" s="67"/>
      <c r="U3" s="71"/>
      <c r="V3" s="71" t="str">
        <f>HYPERLINK("https://pbs.twimg.com/profile_images/1192168373024514048/H3yG8qep_normal.png")</f>
        <v>https://pbs.twimg.com/profile_images/1192168373024514048/H3yG8qep_normal.png</v>
      </c>
      <c r="W3" s="69">
        <v>44691.95145833334</v>
      </c>
      <c r="X3" s="74">
        <v>44691</v>
      </c>
      <c r="Y3" s="76" t="s">
        <v>825</v>
      </c>
      <c r="Z3" s="71" t="str">
        <f>HYPERLINK("https://twitter.com/toituenvirocare/status/1524159877140008960")</f>
        <v>https://twitter.com/toituenvirocare/status/1524159877140008960</v>
      </c>
      <c r="AA3" s="67"/>
      <c r="AB3" s="67"/>
      <c r="AC3" s="76" t="s">
        <v>928</v>
      </c>
      <c r="AD3" s="67"/>
      <c r="AE3" s="67" t="b">
        <v>0</v>
      </c>
      <c r="AF3" s="67">
        <v>3</v>
      </c>
      <c r="AG3" s="76" t="s">
        <v>282</v>
      </c>
      <c r="AH3" s="67" t="b">
        <v>0</v>
      </c>
      <c r="AI3" s="67" t="s">
        <v>283</v>
      </c>
      <c r="AJ3" s="67"/>
      <c r="AK3" s="76" t="s">
        <v>282</v>
      </c>
      <c r="AL3" s="67" t="b">
        <v>0</v>
      </c>
      <c r="AM3" s="67">
        <v>0</v>
      </c>
      <c r="AN3" s="76" t="s">
        <v>282</v>
      </c>
      <c r="AO3" s="76" t="s">
        <v>957</v>
      </c>
      <c r="AP3" s="67" t="b">
        <v>0</v>
      </c>
      <c r="AQ3" s="76" t="s">
        <v>928</v>
      </c>
      <c r="AR3" s="67" t="s">
        <v>218</v>
      </c>
      <c r="AS3" s="67">
        <v>0</v>
      </c>
      <c r="AT3" s="67">
        <v>0</v>
      </c>
      <c r="AU3" s="67"/>
      <c r="AV3" s="67"/>
      <c r="AW3" s="67"/>
      <c r="AX3" s="67"/>
      <c r="AY3" s="67"/>
      <c r="AZ3" s="67"/>
      <c r="BA3" s="67"/>
      <c r="BB3" s="67"/>
      <c r="BC3" s="67">
        <v>1</v>
      </c>
      <c r="BD3" s="67" t="str">
        <f>REPLACE(INDEX(GroupVertices[Group],MATCH(Edges37[[#This Row],[Vertex 1]],GroupVertices[Vertex],0)),1,1,"")</f>
        <v>2</v>
      </c>
      <c r="BE3" s="67" t="str">
        <f>REPLACE(INDEX(GroupVertices[Group],MATCH(Edges37[[#This Row],[Vertex 2]],GroupVertices[Vertex],0)),1,1,"")</f>
        <v>2</v>
      </c>
      <c r="BF3" s="49">
        <v>2</v>
      </c>
      <c r="BG3" s="50">
        <v>4.651162790697675</v>
      </c>
      <c r="BH3" s="49">
        <v>1</v>
      </c>
      <c r="BI3" s="50">
        <v>2.3255813953488373</v>
      </c>
      <c r="BJ3" s="49">
        <v>0</v>
      </c>
      <c r="BK3" s="50">
        <v>0</v>
      </c>
      <c r="BL3" s="49">
        <v>40</v>
      </c>
      <c r="BM3" s="50">
        <v>93.02325581395348</v>
      </c>
      <c r="BN3" s="49">
        <v>43</v>
      </c>
    </row>
    <row r="4" spans="1:66" ht="15" customHeight="1">
      <c r="A4" s="66" t="s">
        <v>542</v>
      </c>
      <c r="B4" s="66" t="s">
        <v>542</v>
      </c>
      <c r="C4" s="84"/>
      <c r="D4" s="94"/>
      <c r="E4" s="84"/>
      <c r="F4" s="96"/>
      <c r="G4" s="84"/>
      <c r="H4" s="82"/>
      <c r="I4" s="97"/>
      <c r="J4" s="97"/>
      <c r="K4" s="35" t="s">
        <v>65</v>
      </c>
      <c r="L4" s="98">
        <v>4</v>
      </c>
      <c r="M4" s="98"/>
      <c r="N4" s="99"/>
      <c r="O4" s="68" t="s">
        <v>218</v>
      </c>
      <c r="P4" s="70">
        <v>44692.45591435185</v>
      </c>
      <c r="Q4" s="68" t="s">
        <v>655</v>
      </c>
      <c r="R4" s="72" t="str">
        <f>HYPERLINK("http://dlrppn.ie/invitation-to-launch-of-the-results-of-the-dublin-region-energy-master-plan/")</f>
        <v>http://dlrppn.ie/invitation-to-launch-of-the-results-of-the-dublin-region-energy-master-plan/</v>
      </c>
      <c r="S4" s="68" t="s">
        <v>699</v>
      </c>
      <c r="T4" s="68"/>
      <c r="U4" s="72" t="str">
        <f>HYPERLINK("https://pbs.twimg.com/media/FSeNSA2X0AAh0K4.jpg")</f>
        <v>https://pbs.twimg.com/media/FSeNSA2X0AAh0K4.jpg</v>
      </c>
      <c r="V4" s="72" t="str">
        <f>HYPERLINK("https://pbs.twimg.com/media/FSeNSA2X0AAh0K4.jpg")</f>
        <v>https://pbs.twimg.com/media/FSeNSA2X0AAh0K4.jpg</v>
      </c>
      <c r="W4" s="70">
        <v>44692.45591435185</v>
      </c>
      <c r="X4" s="75">
        <v>44692</v>
      </c>
      <c r="Y4" s="73" t="s">
        <v>723</v>
      </c>
      <c r="Z4" s="72" t="str">
        <f>HYPERLINK("https://twitter.com/dlrppn/status/1524342685351485442")</f>
        <v>https://twitter.com/dlrppn/status/1524342685351485442</v>
      </c>
      <c r="AA4" s="68"/>
      <c r="AB4" s="68"/>
      <c r="AC4" s="73" t="s">
        <v>826</v>
      </c>
      <c r="AD4" s="68"/>
      <c r="AE4" s="68" t="b">
        <v>0</v>
      </c>
      <c r="AF4" s="68">
        <v>1</v>
      </c>
      <c r="AG4" s="73" t="s">
        <v>282</v>
      </c>
      <c r="AH4" s="68" t="b">
        <v>0</v>
      </c>
      <c r="AI4" s="68" t="s">
        <v>283</v>
      </c>
      <c r="AJ4" s="68"/>
      <c r="AK4" s="73" t="s">
        <v>282</v>
      </c>
      <c r="AL4" s="68" t="b">
        <v>0</v>
      </c>
      <c r="AM4" s="68">
        <v>1</v>
      </c>
      <c r="AN4" s="73" t="s">
        <v>282</v>
      </c>
      <c r="AO4" s="73" t="s">
        <v>285</v>
      </c>
      <c r="AP4" s="68" t="b">
        <v>0</v>
      </c>
      <c r="AQ4" s="73" t="s">
        <v>826</v>
      </c>
      <c r="AR4" s="68" t="s">
        <v>218</v>
      </c>
      <c r="AS4" s="68">
        <v>0</v>
      </c>
      <c r="AT4" s="68">
        <v>0</v>
      </c>
      <c r="AU4" s="68"/>
      <c r="AV4" s="68"/>
      <c r="AW4" s="68"/>
      <c r="AX4" s="68"/>
      <c r="AY4" s="68"/>
      <c r="AZ4" s="68"/>
      <c r="BA4" s="68"/>
      <c r="BB4" s="68"/>
      <c r="BC4" s="68">
        <v>1</v>
      </c>
      <c r="BD4" s="67" t="str">
        <f>REPLACE(INDEX(GroupVertices[Group],MATCH(Edges37[[#This Row],[Vertex 1]],GroupVertices[Vertex],0)),1,1,"")</f>
        <v>23</v>
      </c>
      <c r="BE4" s="67" t="str">
        <f>REPLACE(INDEX(GroupVertices[Group],MATCH(Edges37[[#This Row],[Vertex 2]],GroupVertices[Vertex],0)),1,1,"")</f>
        <v>23</v>
      </c>
      <c r="BF4" s="49">
        <v>2</v>
      </c>
      <c r="BG4" s="50">
        <v>4.878048780487805</v>
      </c>
      <c r="BH4" s="49">
        <v>0</v>
      </c>
      <c r="BI4" s="50">
        <v>0</v>
      </c>
      <c r="BJ4" s="49">
        <v>0</v>
      </c>
      <c r="BK4" s="50">
        <v>0</v>
      </c>
      <c r="BL4" s="49">
        <v>39</v>
      </c>
      <c r="BM4" s="50">
        <v>95.1219512195122</v>
      </c>
      <c r="BN4" s="49">
        <v>41</v>
      </c>
    </row>
    <row r="5" spans="1:66" ht="15">
      <c r="A5" s="66" t="s">
        <v>543</v>
      </c>
      <c r="B5" s="66" t="s">
        <v>542</v>
      </c>
      <c r="C5" s="84"/>
      <c r="D5" s="94"/>
      <c r="E5" s="84"/>
      <c r="F5" s="96"/>
      <c r="G5" s="84"/>
      <c r="H5" s="82"/>
      <c r="I5" s="97"/>
      <c r="J5" s="97"/>
      <c r="K5" s="35" t="s">
        <v>65</v>
      </c>
      <c r="L5" s="98">
        <v>5</v>
      </c>
      <c r="M5" s="98"/>
      <c r="N5" s="99"/>
      <c r="O5" s="68" t="s">
        <v>262</v>
      </c>
      <c r="P5" s="70">
        <v>44692.47875</v>
      </c>
      <c r="Q5" s="68" t="s">
        <v>655</v>
      </c>
      <c r="R5" s="72" t="str">
        <f>HYPERLINK("http://dlrppn.ie/invitation-to-launch-of-the-results-of-the-dublin-region-energy-master-plan/")</f>
        <v>http://dlrppn.ie/invitation-to-launch-of-the-results-of-the-dublin-region-energy-master-plan/</v>
      </c>
      <c r="S5" s="68" t="s">
        <v>699</v>
      </c>
      <c r="T5" s="68"/>
      <c r="U5" s="72" t="str">
        <f>HYPERLINK("https://pbs.twimg.com/media/FSeNSA2X0AAh0K4.jpg")</f>
        <v>https://pbs.twimg.com/media/FSeNSA2X0AAh0K4.jpg</v>
      </c>
      <c r="V5" s="72" t="str">
        <f>HYPERLINK("https://pbs.twimg.com/media/FSeNSA2X0AAh0K4.jpg")</f>
        <v>https://pbs.twimg.com/media/FSeNSA2X0AAh0K4.jpg</v>
      </c>
      <c r="W5" s="70">
        <v>44692.47875</v>
      </c>
      <c r="X5" s="75">
        <v>44692</v>
      </c>
      <c r="Y5" s="73" t="s">
        <v>724</v>
      </c>
      <c r="Z5" s="72" t="str">
        <f>HYPERLINK("https://twitter.com/jimgildea2014/status/1524350960851640320")</f>
        <v>https://twitter.com/jimgildea2014/status/1524350960851640320</v>
      </c>
      <c r="AA5" s="68"/>
      <c r="AB5" s="68"/>
      <c r="AC5" s="73" t="s">
        <v>827</v>
      </c>
      <c r="AD5" s="68"/>
      <c r="AE5" s="68" t="b">
        <v>0</v>
      </c>
      <c r="AF5" s="68">
        <v>0</v>
      </c>
      <c r="AG5" s="73" t="s">
        <v>282</v>
      </c>
      <c r="AH5" s="68" t="b">
        <v>0</v>
      </c>
      <c r="AI5" s="68" t="s">
        <v>283</v>
      </c>
      <c r="AJ5" s="68"/>
      <c r="AK5" s="73" t="s">
        <v>282</v>
      </c>
      <c r="AL5" s="68" t="b">
        <v>0</v>
      </c>
      <c r="AM5" s="68">
        <v>1</v>
      </c>
      <c r="AN5" s="73" t="s">
        <v>826</v>
      </c>
      <c r="AO5" s="73" t="s">
        <v>284</v>
      </c>
      <c r="AP5" s="68" t="b">
        <v>0</v>
      </c>
      <c r="AQ5" s="73" t="s">
        <v>826</v>
      </c>
      <c r="AR5" s="68" t="s">
        <v>218</v>
      </c>
      <c r="AS5" s="68">
        <v>0</v>
      </c>
      <c r="AT5" s="68">
        <v>0</v>
      </c>
      <c r="AU5" s="68"/>
      <c r="AV5" s="68"/>
      <c r="AW5" s="68"/>
      <c r="AX5" s="68"/>
      <c r="AY5" s="68"/>
      <c r="AZ5" s="68"/>
      <c r="BA5" s="68"/>
      <c r="BB5" s="68"/>
      <c r="BC5" s="68">
        <v>1</v>
      </c>
      <c r="BD5" s="67" t="str">
        <f>REPLACE(INDEX(GroupVertices[Group],MATCH(Edges37[[#This Row],[Vertex 1]],GroupVertices[Vertex],0)),1,1,"")</f>
        <v>23</v>
      </c>
      <c r="BE5" s="67" t="str">
        <f>REPLACE(INDEX(GroupVertices[Group],MATCH(Edges37[[#This Row],[Vertex 2]],GroupVertices[Vertex],0)),1,1,"")</f>
        <v>23</v>
      </c>
      <c r="BF5" s="49">
        <v>2</v>
      </c>
      <c r="BG5" s="50">
        <v>4.878048780487805</v>
      </c>
      <c r="BH5" s="49">
        <v>0</v>
      </c>
      <c r="BI5" s="50">
        <v>0</v>
      </c>
      <c r="BJ5" s="49">
        <v>0</v>
      </c>
      <c r="BK5" s="50">
        <v>0</v>
      </c>
      <c r="BL5" s="49">
        <v>39</v>
      </c>
      <c r="BM5" s="50">
        <v>95.1219512195122</v>
      </c>
      <c r="BN5" s="49">
        <v>41</v>
      </c>
    </row>
    <row r="6" spans="1:66" ht="15">
      <c r="A6" s="66" t="s">
        <v>544</v>
      </c>
      <c r="B6" s="66" t="s">
        <v>638</v>
      </c>
      <c r="C6" s="84"/>
      <c r="D6" s="94"/>
      <c r="E6" s="84"/>
      <c r="F6" s="96"/>
      <c r="G6" s="84"/>
      <c r="H6" s="82"/>
      <c r="I6" s="97"/>
      <c r="J6" s="97"/>
      <c r="K6" s="35" t="s">
        <v>65</v>
      </c>
      <c r="L6" s="98">
        <v>6</v>
      </c>
      <c r="M6" s="98"/>
      <c r="N6" s="99"/>
      <c r="O6" s="68" t="s">
        <v>263</v>
      </c>
      <c r="P6" s="70">
        <v>44693.03975694445</v>
      </c>
      <c r="Q6" s="68" t="s">
        <v>656</v>
      </c>
      <c r="R6" s="72" t="str">
        <f>HYPERLINK("https://www.rnz.co.nz/news/business/466954/solar-power-companies-plan-to-start-building-at-multiple-sites")</f>
        <v>https://www.rnz.co.nz/news/business/466954/solar-power-companies-plan-to-start-building-at-multiple-sites</v>
      </c>
      <c r="S6" s="68" t="s">
        <v>269</v>
      </c>
      <c r="T6" s="68"/>
      <c r="U6" s="68"/>
      <c r="V6" s="72" t="str">
        <f>HYPERLINK("https://pbs.twimg.com/profile_images/759282364371599361/qiX0fEdA_normal.jpg")</f>
        <v>https://pbs.twimg.com/profile_images/759282364371599361/qiX0fEdA_normal.jpg</v>
      </c>
      <c r="W6" s="70">
        <v>44693.03975694445</v>
      </c>
      <c r="X6" s="75">
        <v>44693</v>
      </c>
      <c r="Y6" s="73" t="s">
        <v>725</v>
      </c>
      <c r="Z6" s="72" t="str">
        <f>HYPERLINK("https://twitter.com/rich_homewood/status/1524554261027205120")</f>
        <v>https://twitter.com/rich_homewood/status/1524554261027205120</v>
      </c>
      <c r="AA6" s="68"/>
      <c r="AB6" s="68"/>
      <c r="AC6" s="73" t="s">
        <v>828</v>
      </c>
      <c r="AD6" s="68"/>
      <c r="AE6" s="68" t="b">
        <v>0</v>
      </c>
      <c r="AF6" s="68">
        <v>3</v>
      </c>
      <c r="AG6" s="73" t="s">
        <v>282</v>
      </c>
      <c r="AH6" s="68" t="b">
        <v>0</v>
      </c>
      <c r="AI6" s="68" t="s">
        <v>283</v>
      </c>
      <c r="AJ6" s="68"/>
      <c r="AK6" s="73" t="s">
        <v>282</v>
      </c>
      <c r="AL6" s="68" t="b">
        <v>0</v>
      </c>
      <c r="AM6" s="68">
        <v>1</v>
      </c>
      <c r="AN6" s="73" t="s">
        <v>282</v>
      </c>
      <c r="AO6" s="73" t="s">
        <v>285</v>
      </c>
      <c r="AP6" s="68" t="b">
        <v>0</v>
      </c>
      <c r="AQ6" s="73" t="s">
        <v>828</v>
      </c>
      <c r="AR6" s="68" t="s">
        <v>218</v>
      </c>
      <c r="AS6" s="68">
        <v>0</v>
      </c>
      <c r="AT6" s="68">
        <v>0</v>
      </c>
      <c r="AU6" s="68"/>
      <c r="AV6" s="68"/>
      <c r="AW6" s="68"/>
      <c r="AX6" s="68"/>
      <c r="AY6" s="68"/>
      <c r="AZ6" s="68"/>
      <c r="BA6" s="68"/>
      <c r="BB6" s="68"/>
      <c r="BC6" s="68">
        <v>1</v>
      </c>
      <c r="BD6" s="67" t="str">
        <f>REPLACE(INDEX(GroupVertices[Group],MATCH(Edges37[[#This Row],[Vertex 1]],GroupVertices[Vertex],0)),1,1,"")</f>
        <v>13</v>
      </c>
      <c r="BE6" s="67" t="str">
        <f>REPLACE(INDEX(GroupVertices[Group],MATCH(Edges37[[#This Row],[Vertex 2]],GroupVertices[Vertex],0)),1,1,"")</f>
        <v>13</v>
      </c>
      <c r="BF6" s="49">
        <v>1</v>
      </c>
      <c r="BG6" s="50">
        <v>2.380952380952381</v>
      </c>
      <c r="BH6" s="49">
        <v>0</v>
      </c>
      <c r="BI6" s="50">
        <v>0</v>
      </c>
      <c r="BJ6" s="49">
        <v>0</v>
      </c>
      <c r="BK6" s="50">
        <v>0</v>
      </c>
      <c r="BL6" s="49">
        <v>41</v>
      </c>
      <c r="BM6" s="50">
        <v>97.61904761904762</v>
      </c>
      <c r="BN6" s="49">
        <v>42</v>
      </c>
    </row>
    <row r="7" spans="1:66" ht="15">
      <c r="A7" s="66" t="s">
        <v>545</v>
      </c>
      <c r="B7" s="66" t="s">
        <v>638</v>
      </c>
      <c r="C7" s="84"/>
      <c r="D7" s="94"/>
      <c r="E7" s="84"/>
      <c r="F7" s="96"/>
      <c r="G7" s="84"/>
      <c r="H7" s="82"/>
      <c r="I7" s="97"/>
      <c r="J7" s="97"/>
      <c r="K7" s="35" t="s">
        <v>65</v>
      </c>
      <c r="L7" s="98">
        <v>7</v>
      </c>
      <c r="M7" s="98"/>
      <c r="N7" s="99"/>
      <c r="O7" s="68" t="s">
        <v>264</v>
      </c>
      <c r="P7" s="70">
        <v>44693.37021990741</v>
      </c>
      <c r="Q7" s="68" t="s">
        <v>656</v>
      </c>
      <c r="R7" s="72" t="str">
        <f>HYPERLINK("https://www.rnz.co.nz/news/business/466954/solar-power-companies-plan-to-start-building-at-multiple-sites")</f>
        <v>https://www.rnz.co.nz/news/business/466954/solar-power-companies-plan-to-start-building-at-multiple-sites</v>
      </c>
      <c r="S7" s="68" t="s">
        <v>269</v>
      </c>
      <c r="T7" s="68"/>
      <c r="U7" s="68"/>
      <c r="V7" s="72" t="str">
        <f>HYPERLINK("https://pbs.twimg.com/profile_images/1364092440911568896/Q-iuTOXG_normal.jpg")</f>
        <v>https://pbs.twimg.com/profile_images/1364092440911568896/Q-iuTOXG_normal.jpg</v>
      </c>
      <c r="W7" s="70">
        <v>44693.37021990741</v>
      </c>
      <c r="X7" s="75">
        <v>44693</v>
      </c>
      <c r="Y7" s="73" t="s">
        <v>726</v>
      </c>
      <c r="Z7" s="72" t="str">
        <f>HYPERLINK("https://twitter.com/isalutem/status/1524674016350728192")</f>
        <v>https://twitter.com/isalutem/status/1524674016350728192</v>
      </c>
      <c r="AA7" s="68"/>
      <c r="AB7" s="68"/>
      <c r="AC7" s="73" t="s">
        <v>829</v>
      </c>
      <c r="AD7" s="68"/>
      <c r="AE7" s="68" t="b">
        <v>0</v>
      </c>
      <c r="AF7" s="68">
        <v>0</v>
      </c>
      <c r="AG7" s="73" t="s">
        <v>282</v>
      </c>
      <c r="AH7" s="68" t="b">
        <v>0</v>
      </c>
      <c r="AI7" s="68" t="s">
        <v>283</v>
      </c>
      <c r="AJ7" s="68"/>
      <c r="AK7" s="73" t="s">
        <v>282</v>
      </c>
      <c r="AL7" s="68" t="b">
        <v>0</v>
      </c>
      <c r="AM7" s="68">
        <v>1</v>
      </c>
      <c r="AN7" s="73" t="s">
        <v>828</v>
      </c>
      <c r="AO7" s="73" t="s">
        <v>947</v>
      </c>
      <c r="AP7" s="68" t="b">
        <v>0</v>
      </c>
      <c r="AQ7" s="73" t="s">
        <v>828</v>
      </c>
      <c r="AR7" s="68" t="s">
        <v>218</v>
      </c>
      <c r="AS7" s="68">
        <v>0</v>
      </c>
      <c r="AT7" s="68">
        <v>0</v>
      </c>
      <c r="AU7" s="68"/>
      <c r="AV7" s="68"/>
      <c r="AW7" s="68"/>
      <c r="AX7" s="68"/>
      <c r="AY7" s="68"/>
      <c r="AZ7" s="68"/>
      <c r="BA7" s="68"/>
      <c r="BB7" s="68"/>
      <c r="BC7" s="68">
        <v>1</v>
      </c>
      <c r="BD7" s="67" t="str">
        <f>REPLACE(INDEX(GroupVertices[Group],MATCH(Edges37[[#This Row],[Vertex 1]],GroupVertices[Vertex],0)),1,1,"")</f>
        <v>13</v>
      </c>
      <c r="BE7" s="67" t="str">
        <f>REPLACE(INDEX(GroupVertices[Group],MATCH(Edges37[[#This Row],[Vertex 2]],GroupVertices[Vertex],0)),1,1,"")</f>
        <v>13</v>
      </c>
      <c r="BF7" s="49"/>
      <c r="BG7" s="50"/>
      <c r="BH7" s="49"/>
      <c r="BI7" s="50"/>
      <c r="BJ7" s="49"/>
      <c r="BK7" s="50"/>
      <c r="BL7" s="49"/>
      <c r="BM7" s="50"/>
      <c r="BN7" s="49"/>
    </row>
    <row r="8" spans="1:66" ht="15">
      <c r="A8" s="66" t="s">
        <v>546</v>
      </c>
      <c r="B8" s="66" t="s">
        <v>546</v>
      </c>
      <c r="C8" s="84"/>
      <c r="D8" s="94"/>
      <c r="E8" s="84"/>
      <c r="F8" s="96"/>
      <c r="G8" s="84"/>
      <c r="H8" s="82"/>
      <c r="I8" s="97"/>
      <c r="J8" s="97"/>
      <c r="K8" s="35" t="s">
        <v>65</v>
      </c>
      <c r="L8" s="98">
        <v>9</v>
      </c>
      <c r="M8" s="98"/>
      <c r="N8" s="99"/>
      <c r="O8" s="68" t="s">
        <v>218</v>
      </c>
      <c r="P8" s="70">
        <v>44693.74055555555</v>
      </c>
      <c r="Q8" s="68" t="s">
        <v>657</v>
      </c>
      <c r="R8" s="68"/>
      <c r="S8" s="68"/>
      <c r="T8" s="68"/>
      <c r="U8" s="68"/>
      <c r="V8" s="72" t="str">
        <f>HYPERLINK("https://pbs.twimg.com/profile_images/1427746641507926017/U0lqvD2s_normal.jpg")</f>
        <v>https://pbs.twimg.com/profile_images/1427746641507926017/U0lqvD2s_normal.jpg</v>
      </c>
      <c r="W8" s="70">
        <v>44693.74055555555</v>
      </c>
      <c r="X8" s="75">
        <v>44693</v>
      </c>
      <c r="Y8" s="73" t="s">
        <v>727</v>
      </c>
      <c r="Z8" s="72" t="str">
        <f>HYPERLINK("https://twitter.com/matthewprimous/status/1524808223693447168")</f>
        <v>https://twitter.com/matthewprimous/status/1524808223693447168</v>
      </c>
      <c r="AA8" s="68"/>
      <c r="AB8" s="68"/>
      <c r="AC8" s="73" t="s">
        <v>830</v>
      </c>
      <c r="AD8" s="68"/>
      <c r="AE8" s="68" t="b">
        <v>0</v>
      </c>
      <c r="AF8" s="68">
        <v>0</v>
      </c>
      <c r="AG8" s="73" t="s">
        <v>282</v>
      </c>
      <c r="AH8" s="68" t="b">
        <v>0</v>
      </c>
      <c r="AI8" s="68" t="s">
        <v>283</v>
      </c>
      <c r="AJ8" s="68"/>
      <c r="AK8" s="73" t="s">
        <v>282</v>
      </c>
      <c r="AL8" s="68" t="b">
        <v>0</v>
      </c>
      <c r="AM8" s="68">
        <v>0</v>
      </c>
      <c r="AN8" s="73" t="s">
        <v>282</v>
      </c>
      <c r="AO8" s="73" t="s">
        <v>285</v>
      </c>
      <c r="AP8" s="68" t="b">
        <v>0</v>
      </c>
      <c r="AQ8" s="73" t="s">
        <v>830</v>
      </c>
      <c r="AR8" s="68" t="s">
        <v>218</v>
      </c>
      <c r="AS8" s="68">
        <v>0</v>
      </c>
      <c r="AT8" s="68">
        <v>0</v>
      </c>
      <c r="AU8" s="68"/>
      <c r="AV8" s="68"/>
      <c r="AW8" s="68"/>
      <c r="AX8" s="68"/>
      <c r="AY8" s="68"/>
      <c r="AZ8" s="68"/>
      <c r="BA8" s="68"/>
      <c r="BB8" s="68"/>
      <c r="BC8" s="68">
        <v>1</v>
      </c>
      <c r="BD8" s="67" t="str">
        <f>REPLACE(INDEX(GroupVertices[Group],MATCH(Edges37[[#This Row],[Vertex 1]],GroupVertices[Vertex],0)),1,1,"")</f>
        <v>2</v>
      </c>
      <c r="BE8" s="67" t="str">
        <f>REPLACE(INDEX(GroupVertices[Group],MATCH(Edges37[[#This Row],[Vertex 2]],GroupVertices[Vertex],0)),1,1,"")</f>
        <v>2</v>
      </c>
      <c r="BF8" s="49">
        <v>5</v>
      </c>
      <c r="BG8" s="50">
        <v>12.820512820512821</v>
      </c>
      <c r="BH8" s="49">
        <v>0</v>
      </c>
      <c r="BI8" s="50">
        <v>0</v>
      </c>
      <c r="BJ8" s="49">
        <v>0</v>
      </c>
      <c r="BK8" s="50">
        <v>0</v>
      </c>
      <c r="BL8" s="49">
        <v>34</v>
      </c>
      <c r="BM8" s="50">
        <v>87.17948717948718</v>
      </c>
      <c r="BN8" s="49">
        <v>39</v>
      </c>
    </row>
    <row r="9" spans="1:66" ht="15">
      <c r="A9" s="66" t="s">
        <v>547</v>
      </c>
      <c r="B9" s="66" t="s">
        <v>547</v>
      </c>
      <c r="C9" s="84"/>
      <c r="D9" s="94"/>
      <c r="E9" s="84"/>
      <c r="F9" s="96"/>
      <c r="G9" s="84"/>
      <c r="H9" s="82"/>
      <c r="I9" s="97"/>
      <c r="J9" s="97"/>
      <c r="K9" s="35" t="s">
        <v>65</v>
      </c>
      <c r="L9" s="98">
        <v>10</v>
      </c>
      <c r="M9" s="98"/>
      <c r="N9" s="99"/>
      <c r="O9" s="68" t="s">
        <v>218</v>
      </c>
      <c r="P9" s="70">
        <v>44694.40222222222</v>
      </c>
      <c r="Q9" s="68" t="s">
        <v>658</v>
      </c>
      <c r="R9" s="72" t="str">
        <f>HYPERLINK("https://unglobalcompact.org/take-action/climate-ambition-accelerator")</f>
        <v>https://unglobalcompact.org/take-action/climate-ambition-accelerator</v>
      </c>
      <c r="S9" s="68" t="s">
        <v>700</v>
      </c>
      <c r="T9" s="73" t="s">
        <v>709</v>
      </c>
      <c r="U9" s="72" t="str">
        <f>HYPERLINK("https://pbs.twimg.com/media/FSoKs7dWAAEQKg0.jpg")</f>
        <v>https://pbs.twimg.com/media/FSoKs7dWAAEQKg0.jpg</v>
      </c>
      <c r="V9" s="72" t="str">
        <f>HYPERLINK("https://pbs.twimg.com/media/FSoKs7dWAAEQKg0.jpg")</f>
        <v>https://pbs.twimg.com/media/FSoKs7dWAAEQKg0.jpg</v>
      </c>
      <c r="W9" s="70">
        <v>44694.40222222222</v>
      </c>
      <c r="X9" s="75">
        <v>44694</v>
      </c>
      <c r="Y9" s="73" t="s">
        <v>728</v>
      </c>
      <c r="Z9" s="72" t="str">
        <f>HYPERLINK("https://twitter.com/globalcompactsa/status/1525048001345073153")</f>
        <v>https://twitter.com/globalcompactsa/status/1525048001345073153</v>
      </c>
      <c r="AA9" s="68"/>
      <c r="AB9" s="68"/>
      <c r="AC9" s="73" t="s">
        <v>831</v>
      </c>
      <c r="AD9" s="68"/>
      <c r="AE9" s="68" t="b">
        <v>0</v>
      </c>
      <c r="AF9" s="68">
        <v>1</v>
      </c>
      <c r="AG9" s="73" t="s">
        <v>282</v>
      </c>
      <c r="AH9" s="68" t="b">
        <v>0</v>
      </c>
      <c r="AI9" s="68" t="s">
        <v>283</v>
      </c>
      <c r="AJ9" s="68"/>
      <c r="AK9" s="73" t="s">
        <v>282</v>
      </c>
      <c r="AL9" s="68" t="b">
        <v>0</v>
      </c>
      <c r="AM9" s="68">
        <v>0</v>
      </c>
      <c r="AN9" s="73" t="s">
        <v>282</v>
      </c>
      <c r="AO9" s="73" t="s">
        <v>285</v>
      </c>
      <c r="AP9" s="68" t="b">
        <v>0</v>
      </c>
      <c r="AQ9" s="73" t="s">
        <v>831</v>
      </c>
      <c r="AR9" s="68" t="s">
        <v>218</v>
      </c>
      <c r="AS9" s="68">
        <v>0</v>
      </c>
      <c r="AT9" s="68">
        <v>0</v>
      </c>
      <c r="AU9" s="68"/>
      <c r="AV9" s="68"/>
      <c r="AW9" s="68"/>
      <c r="AX9" s="68"/>
      <c r="AY9" s="68"/>
      <c r="AZ9" s="68"/>
      <c r="BA9" s="68"/>
      <c r="BB9" s="68"/>
      <c r="BC9" s="68">
        <v>1</v>
      </c>
      <c r="BD9" s="67" t="str">
        <f>REPLACE(INDEX(GroupVertices[Group],MATCH(Edges37[[#This Row],[Vertex 1]],GroupVertices[Vertex],0)),1,1,"")</f>
        <v>2</v>
      </c>
      <c r="BE9" s="67" t="str">
        <f>REPLACE(INDEX(GroupVertices[Group],MATCH(Edges37[[#This Row],[Vertex 2]],GroupVertices[Vertex],0)),1,1,"")</f>
        <v>2</v>
      </c>
      <c r="BF9" s="49">
        <v>0</v>
      </c>
      <c r="BG9" s="50">
        <v>0</v>
      </c>
      <c r="BH9" s="49">
        <v>0</v>
      </c>
      <c r="BI9" s="50">
        <v>0</v>
      </c>
      <c r="BJ9" s="49">
        <v>0</v>
      </c>
      <c r="BK9" s="50">
        <v>0</v>
      </c>
      <c r="BL9" s="49">
        <v>35</v>
      </c>
      <c r="BM9" s="50">
        <v>100</v>
      </c>
      <c r="BN9" s="49">
        <v>35</v>
      </c>
    </row>
    <row r="10" spans="1:66" ht="15">
      <c r="A10" s="66" t="s">
        <v>548</v>
      </c>
      <c r="B10" s="66" t="s">
        <v>548</v>
      </c>
      <c r="C10" s="84"/>
      <c r="D10" s="94"/>
      <c r="E10" s="84"/>
      <c r="F10" s="96"/>
      <c r="G10" s="84"/>
      <c r="H10" s="82"/>
      <c r="I10" s="97"/>
      <c r="J10" s="97"/>
      <c r="K10" s="35" t="s">
        <v>65</v>
      </c>
      <c r="L10" s="98">
        <v>11</v>
      </c>
      <c r="M10" s="98"/>
      <c r="N10" s="99"/>
      <c r="O10" s="68" t="s">
        <v>218</v>
      </c>
      <c r="P10" s="70">
        <v>44694.41743055556</v>
      </c>
      <c r="Q10" s="68" t="s">
        <v>659</v>
      </c>
      <c r="R10" s="72" t="str">
        <f>HYPERLINK("https://lawlerconsulting.com/your-road-to-net-zero-in-2022/")</f>
        <v>https://lawlerconsulting.com/your-road-to-net-zero-in-2022/</v>
      </c>
      <c r="S10" s="68" t="s">
        <v>701</v>
      </c>
      <c r="T10" s="73" t="s">
        <v>710</v>
      </c>
      <c r="U10" s="72" t="str">
        <f>HYPERLINK("https://pbs.twimg.com/ext_tw_video_thumb/1525053484244078592/pu/img/Ukhjqo7RuwpHY3vW.jpg")</f>
        <v>https://pbs.twimg.com/ext_tw_video_thumb/1525053484244078592/pu/img/Ukhjqo7RuwpHY3vW.jpg</v>
      </c>
      <c r="V10" s="72" t="str">
        <f>HYPERLINK("https://pbs.twimg.com/ext_tw_video_thumb/1525053484244078592/pu/img/Ukhjqo7RuwpHY3vW.jpg")</f>
        <v>https://pbs.twimg.com/ext_tw_video_thumb/1525053484244078592/pu/img/Ukhjqo7RuwpHY3vW.jpg</v>
      </c>
      <c r="W10" s="70">
        <v>44694.41743055556</v>
      </c>
      <c r="X10" s="75">
        <v>44694</v>
      </c>
      <c r="Y10" s="73" t="s">
        <v>729</v>
      </c>
      <c r="Z10" s="72" t="str">
        <f>HYPERLINK("https://twitter.com/lawler_consult/status/1525053515269386241")</f>
        <v>https://twitter.com/lawler_consult/status/1525053515269386241</v>
      </c>
      <c r="AA10" s="68"/>
      <c r="AB10" s="68"/>
      <c r="AC10" s="73" t="s">
        <v>832</v>
      </c>
      <c r="AD10" s="68"/>
      <c r="AE10" s="68" t="b">
        <v>0</v>
      </c>
      <c r="AF10" s="68">
        <v>0</v>
      </c>
      <c r="AG10" s="73" t="s">
        <v>282</v>
      </c>
      <c r="AH10" s="68" t="b">
        <v>0</v>
      </c>
      <c r="AI10" s="68" t="s">
        <v>283</v>
      </c>
      <c r="AJ10" s="68"/>
      <c r="AK10" s="73" t="s">
        <v>282</v>
      </c>
      <c r="AL10" s="68" t="b">
        <v>0</v>
      </c>
      <c r="AM10" s="68">
        <v>0</v>
      </c>
      <c r="AN10" s="73" t="s">
        <v>282</v>
      </c>
      <c r="AO10" s="73" t="s">
        <v>948</v>
      </c>
      <c r="AP10" s="68" t="b">
        <v>0</v>
      </c>
      <c r="AQ10" s="73" t="s">
        <v>832</v>
      </c>
      <c r="AR10" s="68" t="s">
        <v>218</v>
      </c>
      <c r="AS10" s="68">
        <v>0</v>
      </c>
      <c r="AT10" s="68">
        <v>0</v>
      </c>
      <c r="AU10" s="68"/>
      <c r="AV10" s="68"/>
      <c r="AW10" s="68"/>
      <c r="AX10" s="68"/>
      <c r="AY10" s="68"/>
      <c r="AZ10" s="68"/>
      <c r="BA10" s="68"/>
      <c r="BB10" s="68"/>
      <c r="BC10" s="68">
        <v>1</v>
      </c>
      <c r="BD10" s="67" t="str">
        <f>REPLACE(INDEX(GroupVertices[Group],MATCH(Edges37[[#This Row],[Vertex 1]],GroupVertices[Vertex],0)),1,1,"")</f>
        <v>2</v>
      </c>
      <c r="BE10" s="67" t="str">
        <f>REPLACE(INDEX(GroupVertices[Group],MATCH(Edges37[[#This Row],[Vertex 2]],GroupVertices[Vertex],0)),1,1,"")</f>
        <v>2</v>
      </c>
      <c r="BF10" s="49">
        <v>0</v>
      </c>
      <c r="BG10" s="50">
        <v>0</v>
      </c>
      <c r="BH10" s="49">
        <v>0</v>
      </c>
      <c r="BI10" s="50">
        <v>0</v>
      </c>
      <c r="BJ10" s="49">
        <v>0</v>
      </c>
      <c r="BK10" s="50">
        <v>0</v>
      </c>
      <c r="BL10" s="49">
        <v>43</v>
      </c>
      <c r="BM10" s="50">
        <v>100</v>
      </c>
      <c r="BN10" s="49">
        <v>43</v>
      </c>
    </row>
    <row r="11" spans="1:66" ht="15">
      <c r="A11" s="66" t="s">
        <v>549</v>
      </c>
      <c r="B11" s="66" t="s">
        <v>639</v>
      </c>
      <c r="C11" s="84"/>
      <c r="D11" s="94"/>
      <c r="E11" s="84"/>
      <c r="F11" s="96"/>
      <c r="G11" s="84"/>
      <c r="H11" s="82"/>
      <c r="I11" s="97"/>
      <c r="J11" s="97"/>
      <c r="K11" s="35" t="s">
        <v>65</v>
      </c>
      <c r="L11" s="98">
        <v>12</v>
      </c>
      <c r="M11" s="98"/>
      <c r="N11" s="99"/>
      <c r="O11" s="68" t="s">
        <v>263</v>
      </c>
      <c r="P11" s="70">
        <v>44694.577465277776</v>
      </c>
      <c r="Q11" s="68" t="s">
        <v>660</v>
      </c>
      <c r="R11" s="72" t="str">
        <f>HYPERLINK("https://twitter.com/IATA/status/1525109197192429568")</f>
        <v>https://twitter.com/IATA/status/1525109197192429568</v>
      </c>
      <c r="S11" s="68" t="s">
        <v>702</v>
      </c>
      <c r="T11" s="68"/>
      <c r="U11" s="68"/>
      <c r="V11" s="72" t="str">
        <f>HYPERLINK("https://pbs.twimg.com/profile_images/1237189879114674176/bNuhtQ-a_normal.jpg")</f>
        <v>https://pbs.twimg.com/profile_images/1237189879114674176/bNuhtQ-a_normal.jpg</v>
      </c>
      <c r="W11" s="70">
        <v>44694.577465277776</v>
      </c>
      <c r="X11" s="75">
        <v>44694</v>
      </c>
      <c r="Y11" s="73" t="s">
        <v>730</v>
      </c>
      <c r="Z11" s="72" t="str">
        <f>HYPERLINK("https://twitter.com/michaelpolanyi/status/1525111510095339520")</f>
        <v>https://twitter.com/michaelpolanyi/status/1525111510095339520</v>
      </c>
      <c r="AA11" s="68"/>
      <c r="AB11" s="68"/>
      <c r="AC11" s="73" t="s">
        <v>833</v>
      </c>
      <c r="AD11" s="68"/>
      <c r="AE11" s="68" t="b">
        <v>0</v>
      </c>
      <c r="AF11" s="68">
        <v>1</v>
      </c>
      <c r="AG11" s="73" t="s">
        <v>282</v>
      </c>
      <c r="AH11" s="68" t="b">
        <v>1</v>
      </c>
      <c r="AI11" s="68" t="s">
        <v>283</v>
      </c>
      <c r="AJ11" s="68"/>
      <c r="AK11" s="73" t="s">
        <v>942</v>
      </c>
      <c r="AL11" s="68" t="b">
        <v>0</v>
      </c>
      <c r="AM11" s="68">
        <v>0</v>
      </c>
      <c r="AN11" s="73" t="s">
        <v>282</v>
      </c>
      <c r="AO11" s="73" t="s">
        <v>285</v>
      </c>
      <c r="AP11" s="68" t="b">
        <v>0</v>
      </c>
      <c r="AQ11" s="73" t="s">
        <v>833</v>
      </c>
      <c r="AR11" s="68" t="s">
        <v>218</v>
      </c>
      <c r="AS11" s="68">
        <v>0</v>
      </c>
      <c r="AT11" s="68">
        <v>0</v>
      </c>
      <c r="AU11" s="68"/>
      <c r="AV11" s="68"/>
      <c r="AW11" s="68"/>
      <c r="AX11" s="68"/>
      <c r="AY11" s="68"/>
      <c r="AZ11" s="68"/>
      <c r="BA11" s="68"/>
      <c r="BB11" s="68"/>
      <c r="BC11" s="68">
        <v>1</v>
      </c>
      <c r="BD11" s="67" t="str">
        <f>REPLACE(INDEX(GroupVertices[Group],MATCH(Edges37[[#This Row],[Vertex 1]],GroupVertices[Vertex],0)),1,1,"")</f>
        <v>22</v>
      </c>
      <c r="BE11" s="67" t="str">
        <f>REPLACE(INDEX(GroupVertices[Group],MATCH(Edges37[[#This Row],[Vertex 2]],GroupVertices[Vertex],0)),1,1,"")</f>
        <v>22</v>
      </c>
      <c r="BF11" s="49">
        <v>0</v>
      </c>
      <c r="BG11" s="50">
        <v>0</v>
      </c>
      <c r="BH11" s="49">
        <v>1</v>
      </c>
      <c r="BI11" s="50">
        <v>3.7037037037037037</v>
      </c>
      <c r="BJ11" s="49">
        <v>0</v>
      </c>
      <c r="BK11" s="50">
        <v>0</v>
      </c>
      <c r="BL11" s="49">
        <v>26</v>
      </c>
      <c r="BM11" s="50">
        <v>96.29629629629629</v>
      </c>
      <c r="BN11" s="49">
        <v>27</v>
      </c>
    </row>
    <row r="12" spans="1:66" ht="15">
      <c r="A12" s="66" t="s">
        <v>550</v>
      </c>
      <c r="B12" s="66" t="s">
        <v>550</v>
      </c>
      <c r="C12" s="84"/>
      <c r="D12" s="94"/>
      <c r="E12" s="84"/>
      <c r="F12" s="96"/>
      <c r="G12" s="84"/>
      <c r="H12" s="82"/>
      <c r="I12" s="97"/>
      <c r="J12" s="97"/>
      <c r="K12" s="35" t="s">
        <v>65</v>
      </c>
      <c r="L12" s="98">
        <v>13</v>
      </c>
      <c r="M12" s="98"/>
      <c r="N12" s="99"/>
      <c r="O12" s="68" t="s">
        <v>218</v>
      </c>
      <c r="P12" s="70">
        <v>44694.71192129629</v>
      </c>
      <c r="Q12" s="68" t="s">
        <v>661</v>
      </c>
      <c r="R12" s="72" t="str">
        <f>HYPERLINK("https://www.stuff.co.nz/national/politics/opinion/128635128/the-new-emission-reduction-plan-will-reveal-just-how-much-we-care-about-climate.html?utm_source=dlvr.it&amp;utm_medium=twitter")</f>
        <v>https://www.stuff.co.nz/national/politics/opinion/128635128/the-new-emission-reduction-plan-will-reveal-just-how-much-we-care-about-climate.html?utm_source=dlvr.it&amp;utm_medium=twitter</v>
      </c>
      <c r="S12" s="68" t="s">
        <v>269</v>
      </c>
      <c r="T12" s="68"/>
      <c r="U12" s="68"/>
      <c r="V12" s="72" t="str">
        <f>HYPERLINK("https://pbs.twimg.com/profile_images/740645735452925952/Du900SbT_normal.jpg")</f>
        <v>https://pbs.twimg.com/profile_images/740645735452925952/Du900SbT_normal.jpg</v>
      </c>
      <c r="W12" s="70">
        <v>44694.71192129629</v>
      </c>
      <c r="X12" s="75">
        <v>44694</v>
      </c>
      <c r="Y12" s="73" t="s">
        <v>731</v>
      </c>
      <c r="Z12" s="72" t="str">
        <f>HYPERLINK("https://twitter.com/nzstuffpolitics/status/1525160235521806336")</f>
        <v>https://twitter.com/nzstuffpolitics/status/1525160235521806336</v>
      </c>
      <c r="AA12" s="68"/>
      <c r="AB12" s="68"/>
      <c r="AC12" s="73" t="s">
        <v>834</v>
      </c>
      <c r="AD12" s="68"/>
      <c r="AE12" s="68" t="b">
        <v>0</v>
      </c>
      <c r="AF12" s="68">
        <v>0</v>
      </c>
      <c r="AG12" s="73" t="s">
        <v>282</v>
      </c>
      <c r="AH12" s="68" t="b">
        <v>0</v>
      </c>
      <c r="AI12" s="68" t="s">
        <v>283</v>
      </c>
      <c r="AJ12" s="68"/>
      <c r="AK12" s="73" t="s">
        <v>282</v>
      </c>
      <c r="AL12" s="68" t="b">
        <v>0</v>
      </c>
      <c r="AM12" s="68">
        <v>0</v>
      </c>
      <c r="AN12" s="73" t="s">
        <v>282</v>
      </c>
      <c r="AO12" s="73" t="s">
        <v>949</v>
      </c>
      <c r="AP12" s="68" t="b">
        <v>0</v>
      </c>
      <c r="AQ12" s="73" t="s">
        <v>834</v>
      </c>
      <c r="AR12" s="68" t="s">
        <v>218</v>
      </c>
      <c r="AS12" s="68">
        <v>0</v>
      </c>
      <c r="AT12" s="68">
        <v>0</v>
      </c>
      <c r="AU12" s="68"/>
      <c r="AV12" s="68"/>
      <c r="AW12" s="68"/>
      <c r="AX12" s="68"/>
      <c r="AY12" s="68"/>
      <c r="AZ12" s="68"/>
      <c r="BA12" s="68"/>
      <c r="BB12" s="68"/>
      <c r="BC12" s="68">
        <v>1</v>
      </c>
      <c r="BD12" s="67" t="str">
        <f>REPLACE(INDEX(GroupVertices[Group],MATCH(Edges37[[#This Row],[Vertex 1]],GroupVertices[Vertex],0)),1,1,"")</f>
        <v>2</v>
      </c>
      <c r="BE12" s="67" t="str">
        <f>REPLACE(INDEX(GroupVertices[Group],MATCH(Edges37[[#This Row],[Vertex 2]],GroupVertices[Vertex],0)),1,1,"")</f>
        <v>2</v>
      </c>
      <c r="BF12" s="49">
        <v>0</v>
      </c>
      <c r="BG12" s="50">
        <v>0</v>
      </c>
      <c r="BH12" s="49">
        <v>0</v>
      </c>
      <c r="BI12" s="50">
        <v>0</v>
      </c>
      <c r="BJ12" s="49">
        <v>0</v>
      </c>
      <c r="BK12" s="50">
        <v>0</v>
      </c>
      <c r="BL12" s="49">
        <v>28</v>
      </c>
      <c r="BM12" s="50">
        <v>100</v>
      </c>
      <c r="BN12" s="49">
        <v>28</v>
      </c>
    </row>
    <row r="13" spans="1:66" ht="15">
      <c r="A13" s="66" t="s">
        <v>551</v>
      </c>
      <c r="B13" s="66" t="s">
        <v>551</v>
      </c>
      <c r="C13" s="84"/>
      <c r="D13" s="94"/>
      <c r="E13" s="84"/>
      <c r="F13" s="96"/>
      <c r="G13" s="84"/>
      <c r="H13" s="82"/>
      <c r="I13" s="97"/>
      <c r="J13" s="97"/>
      <c r="K13" s="35" t="s">
        <v>65</v>
      </c>
      <c r="L13" s="98">
        <v>14</v>
      </c>
      <c r="M13" s="98"/>
      <c r="N13" s="99"/>
      <c r="O13" s="68" t="s">
        <v>218</v>
      </c>
      <c r="P13" s="70">
        <v>44694.784583333334</v>
      </c>
      <c r="Q13" s="68" t="s">
        <v>662</v>
      </c>
      <c r="R13" s="68"/>
      <c r="S13" s="68"/>
      <c r="T13" s="68"/>
      <c r="U13" s="68"/>
      <c r="V13" s="72" t="str">
        <f>HYPERLINK("https://pbs.twimg.com/profile_images/1287525164721217536/ityBBCEJ_normal.jpg")</f>
        <v>https://pbs.twimg.com/profile_images/1287525164721217536/ityBBCEJ_normal.jpg</v>
      </c>
      <c r="W13" s="70">
        <v>44694.784583333334</v>
      </c>
      <c r="X13" s="75">
        <v>44694</v>
      </c>
      <c r="Y13" s="73" t="s">
        <v>732</v>
      </c>
      <c r="Z13" s="72" t="str">
        <f>HYPERLINK("https://twitter.com/falconseaknight/status/1525186567442006016")</f>
        <v>https://twitter.com/falconseaknight/status/1525186567442006016</v>
      </c>
      <c r="AA13" s="68"/>
      <c r="AB13" s="68"/>
      <c r="AC13" s="73" t="s">
        <v>835</v>
      </c>
      <c r="AD13" s="73" t="s">
        <v>929</v>
      </c>
      <c r="AE13" s="68" t="b">
        <v>0</v>
      </c>
      <c r="AF13" s="68">
        <v>0</v>
      </c>
      <c r="AG13" s="73" t="s">
        <v>935</v>
      </c>
      <c r="AH13" s="68" t="b">
        <v>0</v>
      </c>
      <c r="AI13" s="68" t="s">
        <v>283</v>
      </c>
      <c r="AJ13" s="68"/>
      <c r="AK13" s="73" t="s">
        <v>282</v>
      </c>
      <c r="AL13" s="68" t="b">
        <v>0</v>
      </c>
      <c r="AM13" s="68">
        <v>0</v>
      </c>
      <c r="AN13" s="73" t="s">
        <v>282</v>
      </c>
      <c r="AO13" s="73" t="s">
        <v>284</v>
      </c>
      <c r="AP13" s="68" t="b">
        <v>0</v>
      </c>
      <c r="AQ13" s="73" t="s">
        <v>929</v>
      </c>
      <c r="AR13" s="68" t="s">
        <v>218</v>
      </c>
      <c r="AS13" s="68">
        <v>0</v>
      </c>
      <c r="AT13" s="68">
        <v>0</v>
      </c>
      <c r="AU13" s="68"/>
      <c r="AV13" s="68"/>
      <c r="AW13" s="68"/>
      <c r="AX13" s="68"/>
      <c r="AY13" s="68"/>
      <c r="AZ13" s="68"/>
      <c r="BA13" s="68"/>
      <c r="BB13" s="68"/>
      <c r="BC13" s="68">
        <v>1</v>
      </c>
      <c r="BD13" s="67" t="str">
        <f>REPLACE(INDEX(GroupVertices[Group],MATCH(Edges37[[#This Row],[Vertex 1]],GroupVertices[Vertex],0)),1,1,"")</f>
        <v>2</v>
      </c>
      <c r="BE13" s="67" t="str">
        <f>REPLACE(INDEX(GroupVertices[Group],MATCH(Edges37[[#This Row],[Vertex 2]],GroupVertices[Vertex],0)),1,1,"")</f>
        <v>2</v>
      </c>
      <c r="BF13" s="49">
        <v>0</v>
      </c>
      <c r="BG13" s="50">
        <v>0</v>
      </c>
      <c r="BH13" s="49">
        <v>2</v>
      </c>
      <c r="BI13" s="50">
        <v>4.545454545454546</v>
      </c>
      <c r="BJ13" s="49">
        <v>0</v>
      </c>
      <c r="BK13" s="50">
        <v>0</v>
      </c>
      <c r="BL13" s="49">
        <v>42</v>
      </c>
      <c r="BM13" s="50">
        <v>95.45454545454545</v>
      </c>
      <c r="BN13" s="49">
        <v>44</v>
      </c>
    </row>
    <row r="14" spans="1:66" ht="15">
      <c r="A14" s="66" t="s">
        <v>552</v>
      </c>
      <c r="B14" s="66" t="s">
        <v>552</v>
      </c>
      <c r="C14" s="84"/>
      <c r="D14" s="94"/>
      <c r="E14" s="84"/>
      <c r="F14" s="96"/>
      <c r="G14" s="84"/>
      <c r="H14" s="82"/>
      <c r="I14" s="97"/>
      <c r="J14" s="97"/>
      <c r="K14" s="35" t="s">
        <v>65</v>
      </c>
      <c r="L14" s="98">
        <v>15</v>
      </c>
      <c r="M14" s="98"/>
      <c r="N14" s="99"/>
      <c r="O14" s="68" t="s">
        <v>218</v>
      </c>
      <c r="P14" s="70">
        <v>44694.916493055556</v>
      </c>
      <c r="Q14" s="68" t="s">
        <v>663</v>
      </c>
      <c r="R14" s="68"/>
      <c r="S14" s="68"/>
      <c r="T14" s="68"/>
      <c r="U14" s="72" t="str">
        <f>HYPERLINK("https://pbs.twimg.com/media/FSq4kzxaQAArdKu.jpg")</f>
        <v>https://pbs.twimg.com/media/FSq4kzxaQAArdKu.jpg</v>
      </c>
      <c r="V14" s="72" t="str">
        <f>HYPERLINK("https://pbs.twimg.com/media/FSq4kzxaQAArdKu.jpg")</f>
        <v>https://pbs.twimg.com/media/FSq4kzxaQAArdKu.jpg</v>
      </c>
      <c r="W14" s="70">
        <v>44694.916493055556</v>
      </c>
      <c r="X14" s="75">
        <v>44694</v>
      </c>
      <c r="Y14" s="73" t="s">
        <v>733</v>
      </c>
      <c r="Z14" s="72" t="str">
        <f>HYPERLINK("https://twitter.com/annacwhyte/status/1525234369430179840")</f>
        <v>https://twitter.com/annacwhyte/status/1525234369430179840</v>
      </c>
      <c r="AA14" s="68"/>
      <c r="AB14" s="68"/>
      <c r="AC14" s="73" t="s">
        <v>836</v>
      </c>
      <c r="AD14" s="73" t="s">
        <v>930</v>
      </c>
      <c r="AE14" s="68" t="b">
        <v>0</v>
      </c>
      <c r="AF14" s="68">
        <v>1</v>
      </c>
      <c r="AG14" s="73" t="s">
        <v>936</v>
      </c>
      <c r="AH14" s="68" t="b">
        <v>0</v>
      </c>
      <c r="AI14" s="68" t="s">
        <v>283</v>
      </c>
      <c r="AJ14" s="68"/>
      <c r="AK14" s="73" t="s">
        <v>282</v>
      </c>
      <c r="AL14" s="68" t="b">
        <v>0</v>
      </c>
      <c r="AM14" s="68">
        <v>0</v>
      </c>
      <c r="AN14" s="73" t="s">
        <v>282</v>
      </c>
      <c r="AO14" s="73" t="s">
        <v>947</v>
      </c>
      <c r="AP14" s="68" t="b">
        <v>0</v>
      </c>
      <c r="AQ14" s="73" t="s">
        <v>930</v>
      </c>
      <c r="AR14" s="68" t="s">
        <v>218</v>
      </c>
      <c r="AS14" s="68">
        <v>0</v>
      </c>
      <c r="AT14" s="68">
        <v>0</v>
      </c>
      <c r="AU14" s="68"/>
      <c r="AV14" s="68"/>
      <c r="AW14" s="68"/>
      <c r="AX14" s="68"/>
      <c r="AY14" s="68"/>
      <c r="AZ14" s="68"/>
      <c r="BA14" s="68"/>
      <c r="BB14" s="68"/>
      <c r="BC14" s="68">
        <v>1</v>
      </c>
      <c r="BD14" s="67" t="str">
        <f>REPLACE(INDEX(GroupVertices[Group],MATCH(Edges37[[#This Row],[Vertex 1]],GroupVertices[Vertex],0)),1,1,"")</f>
        <v>2</v>
      </c>
      <c r="BE14" s="67" t="str">
        <f>REPLACE(INDEX(GroupVertices[Group],MATCH(Edges37[[#This Row],[Vertex 2]],GroupVertices[Vertex],0)),1,1,"")</f>
        <v>2</v>
      </c>
      <c r="BF14" s="49">
        <v>0</v>
      </c>
      <c r="BG14" s="50">
        <v>0</v>
      </c>
      <c r="BH14" s="49">
        <v>0</v>
      </c>
      <c r="BI14" s="50">
        <v>0</v>
      </c>
      <c r="BJ14" s="49">
        <v>0</v>
      </c>
      <c r="BK14" s="50">
        <v>0</v>
      </c>
      <c r="BL14" s="49">
        <v>21</v>
      </c>
      <c r="BM14" s="50">
        <v>100</v>
      </c>
      <c r="BN14" s="49">
        <v>21</v>
      </c>
    </row>
    <row r="15" spans="1:66" ht="15">
      <c r="A15" s="66" t="s">
        <v>553</v>
      </c>
      <c r="B15" s="66" t="s">
        <v>553</v>
      </c>
      <c r="C15" s="84"/>
      <c r="D15" s="94"/>
      <c r="E15" s="84"/>
      <c r="F15" s="96"/>
      <c r="G15" s="84"/>
      <c r="H15" s="82"/>
      <c r="I15" s="97"/>
      <c r="J15" s="97"/>
      <c r="K15" s="35" t="s">
        <v>65</v>
      </c>
      <c r="L15" s="98">
        <v>16</v>
      </c>
      <c r="M15" s="98"/>
      <c r="N15" s="99"/>
      <c r="O15" s="68" t="s">
        <v>218</v>
      </c>
      <c r="P15" s="70">
        <v>44695.12201388889</v>
      </c>
      <c r="Q15" s="68" t="s">
        <v>664</v>
      </c>
      <c r="R15" s="72" t="str">
        <f>HYPERLINK("https://www.stuff.co.nz/national/politics/opinion/128635128/the-new-emission-reduction-plan-will-reveal-just-how-much-we-care-about-climate")</f>
        <v>https://www.stuff.co.nz/national/politics/opinion/128635128/the-new-emission-reduction-plan-will-reveal-just-how-much-we-care-about-climate</v>
      </c>
      <c r="S15" s="68" t="s">
        <v>269</v>
      </c>
      <c r="T15" s="68"/>
      <c r="U15" s="68"/>
      <c r="V15" s="72" t="str">
        <f>HYPERLINK("https://pbs.twimg.com/profile_images/1479682990871511041/ZLjodGMW_normal.jpg")</f>
        <v>https://pbs.twimg.com/profile_images/1479682990871511041/ZLjodGMW_normal.jpg</v>
      </c>
      <c r="W15" s="70">
        <v>44695.12201388889</v>
      </c>
      <c r="X15" s="75">
        <v>44695</v>
      </c>
      <c r="Y15" s="73" t="s">
        <v>734</v>
      </c>
      <c r="Z15" s="72" t="str">
        <f>HYPERLINK("https://twitter.com/ddub_news/status/1525308847032012800")</f>
        <v>https://twitter.com/ddub_news/status/1525308847032012800</v>
      </c>
      <c r="AA15" s="68"/>
      <c r="AB15" s="68"/>
      <c r="AC15" s="73" t="s">
        <v>837</v>
      </c>
      <c r="AD15" s="68"/>
      <c r="AE15" s="68" t="b">
        <v>0</v>
      </c>
      <c r="AF15" s="68">
        <v>0</v>
      </c>
      <c r="AG15" s="73" t="s">
        <v>282</v>
      </c>
      <c r="AH15" s="68" t="b">
        <v>0</v>
      </c>
      <c r="AI15" s="68" t="s">
        <v>283</v>
      </c>
      <c r="AJ15" s="68"/>
      <c r="AK15" s="73" t="s">
        <v>282</v>
      </c>
      <c r="AL15" s="68" t="b">
        <v>0</v>
      </c>
      <c r="AM15" s="68">
        <v>0</v>
      </c>
      <c r="AN15" s="73" t="s">
        <v>282</v>
      </c>
      <c r="AO15" s="73" t="s">
        <v>285</v>
      </c>
      <c r="AP15" s="68" t="b">
        <v>0</v>
      </c>
      <c r="AQ15" s="73" t="s">
        <v>837</v>
      </c>
      <c r="AR15" s="68" t="s">
        <v>218</v>
      </c>
      <c r="AS15" s="68">
        <v>0</v>
      </c>
      <c r="AT15" s="68">
        <v>0</v>
      </c>
      <c r="AU15" s="68"/>
      <c r="AV15" s="68"/>
      <c r="AW15" s="68"/>
      <c r="AX15" s="68"/>
      <c r="AY15" s="68"/>
      <c r="AZ15" s="68"/>
      <c r="BA15" s="68"/>
      <c r="BB15" s="68"/>
      <c r="BC15" s="68">
        <v>1</v>
      </c>
      <c r="BD15" s="67" t="str">
        <f>REPLACE(INDEX(GroupVertices[Group],MATCH(Edges37[[#This Row],[Vertex 1]],GroupVertices[Vertex],0)),1,1,"")</f>
        <v>2</v>
      </c>
      <c r="BE15" s="67" t="str">
        <f>REPLACE(INDEX(GroupVertices[Group],MATCH(Edges37[[#This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6" t="s">
        <v>554</v>
      </c>
      <c r="B16" s="66" t="s">
        <v>640</v>
      </c>
      <c r="C16" s="84"/>
      <c r="D16" s="94"/>
      <c r="E16" s="84"/>
      <c r="F16" s="96"/>
      <c r="G16" s="84"/>
      <c r="H16" s="82"/>
      <c r="I16" s="97"/>
      <c r="J16" s="97"/>
      <c r="K16" s="35" t="s">
        <v>65</v>
      </c>
      <c r="L16" s="98">
        <v>17</v>
      </c>
      <c r="M16" s="98"/>
      <c r="N16" s="99"/>
      <c r="O16" s="68" t="s">
        <v>264</v>
      </c>
      <c r="P16" s="70">
        <v>44695.99466435185</v>
      </c>
      <c r="Q16" s="68" t="s">
        <v>665</v>
      </c>
      <c r="R16" s="68"/>
      <c r="S16" s="68"/>
      <c r="T16" s="73" t="s">
        <v>711</v>
      </c>
      <c r="U16" s="72" t="str">
        <f>HYPERLINK("https://pbs.twimg.com/amplify_video_thumb/1525624009236582400/img/pkRqNLkArsbX7wZC.jpg")</f>
        <v>https://pbs.twimg.com/amplify_video_thumb/1525624009236582400/img/pkRqNLkArsbX7wZC.jpg</v>
      </c>
      <c r="V16" s="72" t="str">
        <f>HYPERLINK("https://pbs.twimg.com/amplify_video_thumb/1525624009236582400/img/pkRqNLkArsbX7wZC.jpg")</f>
        <v>https://pbs.twimg.com/amplify_video_thumb/1525624009236582400/img/pkRqNLkArsbX7wZC.jpg</v>
      </c>
      <c r="W16" s="70">
        <v>44695.99466435185</v>
      </c>
      <c r="X16" s="75">
        <v>44695</v>
      </c>
      <c r="Y16" s="73" t="s">
        <v>735</v>
      </c>
      <c r="Z16" s="72" t="str">
        <f>HYPERLINK("https://twitter.com/peggymel2001/status/1525625085037793281")</f>
        <v>https://twitter.com/peggymel2001/status/1525625085037793281</v>
      </c>
      <c r="AA16" s="68"/>
      <c r="AB16" s="68"/>
      <c r="AC16" s="73" t="s">
        <v>838</v>
      </c>
      <c r="AD16" s="68"/>
      <c r="AE16" s="68" t="b">
        <v>0</v>
      </c>
      <c r="AF16" s="68">
        <v>0</v>
      </c>
      <c r="AG16" s="73" t="s">
        <v>282</v>
      </c>
      <c r="AH16" s="68" t="b">
        <v>0</v>
      </c>
      <c r="AI16" s="68" t="s">
        <v>283</v>
      </c>
      <c r="AJ16" s="68"/>
      <c r="AK16" s="73" t="s">
        <v>282</v>
      </c>
      <c r="AL16" s="68" t="b">
        <v>0</v>
      </c>
      <c r="AM16" s="68">
        <v>5</v>
      </c>
      <c r="AN16" s="73" t="s">
        <v>839</v>
      </c>
      <c r="AO16" s="73" t="s">
        <v>950</v>
      </c>
      <c r="AP16" s="68" t="b">
        <v>0</v>
      </c>
      <c r="AQ16" s="73" t="s">
        <v>839</v>
      </c>
      <c r="AR16" s="68" t="s">
        <v>218</v>
      </c>
      <c r="AS16" s="68">
        <v>0</v>
      </c>
      <c r="AT16" s="68">
        <v>0</v>
      </c>
      <c r="AU16" s="68"/>
      <c r="AV16" s="68"/>
      <c r="AW16" s="68"/>
      <c r="AX16" s="68"/>
      <c r="AY16" s="68"/>
      <c r="AZ16" s="68"/>
      <c r="BA16" s="68"/>
      <c r="BB16" s="68"/>
      <c r="BC16" s="68">
        <v>1</v>
      </c>
      <c r="BD16" s="67" t="str">
        <f>REPLACE(INDEX(GroupVertices[Group],MATCH(Edges37[[#This Row],[Vertex 1]],GroupVertices[Vertex],0)),1,1,"")</f>
        <v>7</v>
      </c>
      <c r="BE16" s="67" t="str">
        <f>REPLACE(INDEX(GroupVertices[Group],MATCH(Edges37[[#This Row],[Vertex 2]],GroupVertices[Vertex],0)),1,1,"")</f>
        <v>7</v>
      </c>
      <c r="BF16" s="49"/>
      <c r="BG16" s="50"/>
      <c r="BH16" s="49"/>
      <c r="BI16" s="50"/>
      <c r="BJ16" s="49"/>
      <c r="BK16" s="50"/>
      <c r="BL16" s="49"/>
      <c r="BM16" s="50"/>
      <c r="BN16" s="49"/>
    </row>
    <row r="17" spans="1:66" ht="15">
      <c r="A17" s="66" t="s">
        <v>555</v>
      </c>
      <c r="B17" s="66" t="s">
        <v>640</v>
      </c>
      <c r="C17" s="84"/>
      <c r="D17" s="94"/>
      <c r="E17" s="84"/>
      <c r="F17" s="96"/>
      <c r="G17" s="84"/>
      <c r="H17" s="82"/>
      <c r="I17" s="97"/>
      <c r="J17" s="97"/>
      <c r="K17" s="35" t="s">
        <v>65</v>
      </c>
      <c r="L17" s="98">
        <v>20</v>
      </c>
      <c r="M17" s="98"/>
      <c r="N17" s="99"/>
      <c r="O17" s="68" t="s">
        <v>263</v>
      </c>
      <c r="P17" s="70">
        <v>44695.99318287037</v>
      </c>
      <c r="Q17" s="68" t="s">
        <v>665</v>
      </c>
      <c r="R17" s="68"/>
      <c r="S17" s="68"/>
      <c r="T17" s="73" t="s">
        <v>711</v>
      </c>
      <c r="U17" s="72" t="str">
        <f>HYPERLINK("https://pbs.twimg.com/amplify_video_thumb/1525624009236582400/img/pkRqNLkArsbX7wZC.jpg")</f>
        <v>https://pbs.twimg.com/amplify_video_thumb/1525624009236582400/img/pkRqNLkArsbX7wZC.jpg</v>
      </c>
      <c r="V17" s="72" t="str">
        <f>HYPERLINK("https://pbs.twimg.com/amplify_video_thumb/1525624009236582400/img/pkRqNLkArsbX7wZC.jpg")</f>
        <v>https://pbs.twimg.com/amplify_video_thumb/1525624009236582400/img/pkRqNLkArsbX7wZC.jpg</v>
      </c>
      <c r="W17" s="70">
        <v>44695.99318287037</v>
      </c>
      <c r="X17" s="75">
        <v>44695</v>
      </c>
      <c r="Y17" s="73" t="s">
        <v>736</v>
      </c>
      <c r="Z17" s="72" t="str">
        <f>HYPERLINK("https://twitter.com/abcnews/status/1525624545507700736")</f>
        <v>https://twitter.com/abcnews/status/1525624545507700736</v>
      </c>
      <c r="AA17" s="68"/>
      <c r="AB17" s="68"/>
      <c r="AC17" s="73" t="s">
        <v>839</v>
      </c>
      <c r="AD17" s="68"/>
      <c r="AE17" s="68" t="b">
        <v>0</v>
      </c>
      <c r="AF17" s="68">
        <v>14</v>
      </c>
      <c r="AG17" s="73" t="s">
        <v>282</v>
      </c>
      <c r="AH17" s="68" t="b">
        <v>0</v>
      </c>
      <c r="AI17" s="68" t="s">
        <v>283</v>
      </c>
      <c r="AJ17" s="68"/>
      <c r="AK17" s="73" t="s">
        <v>282</v>
      </c>
      <c r="AL17" s="68" t="b">
        <v>0</v>
      </c>
      <c r="AM17" s="68">
        <v>5</v>
      </c>
      <c r="AN17" s="73" t="s">
        <v>282</v>
      </c>
      <c r="AO17" s="73" t="s">
        <v>951</v>
      </c>
      <c r="AP17" s="68" t="b">
        <v>0</v>
      </c>
      <c r="AQ17" s="73" t="s">
        <v>839</v>
      </c>
      <c r="AR17" s="68" t="s">
        <v>218</v>
      </c>
      <c r="AS17" s="68">
        <v>0</v>
      </c>
      <c r="AT17" s="68">
        <v>0</v>
      </c>
      <c r="AU17" s="68"/>
      <c r="AV17" s="68"/>
      <c r="AW17" s="68"/>
      <c r="AX17" s="68"/>
      <c r="AY17" s="68"/>
      <c r="AZ17" s="68"/>
      <c r="BA17" s="68"/>
      <c r="BB17" s="68"/>
      <c r="BC17" s="68">
        <v>1</v>
      </c>
      <c r="BD17" s="67" t="str">
        <f>REPLACE(INDEX(GroupVertices[Group],MATCH(Edges37[[#This Row],[Vertex 1]],GroupVertices[Vertex],0)),1,1,"")</f>
        <v>7</v>
      </c>
      <c r="BE17" s="67" t="str">
        <f>REPLACE(INDEX(GroupVertices[Group],MATCH(Edges37[[#This Row],[Vertex 2]],GroupVertices[Vertex],0)),1,1,"")</f>
        <v>7</v>
      </c>
      <c r="BF17" s="49"/>
      <c r="BG17" s="50"/>
      <c r="BH17" s="49"/>
      <c r="BI17" s="50"/>
      <c r="BJ17" s="49"/>
      <c r="BK17" s="50"/>
      <c r="BL17" s="49"/>
      <c r="BM17" s="50"/>
      <c r="BN17" s="49"/>
    </row>
    <row r="18" spans="1:66" ht="15">
      <c r="A18" s="66" t="s">
        <v>556</v>
      </c>
      <c r="B18" s="66" t="s">
        <v>640</v>
      </c>
      <c r="C18" s="84"/>
      <c r="D18" s="94"/>
      <c r="E18" s="84"/>
      <c r="F18" s="96"/>
      <c r="G18" s="84"/>
      <c r="H18" s="82"/>
      <c r="I18" s="97"/>
      <c r="J18" s="97"/>
      <c r="K18" s="35" t="s">
        <v>65</v>
      </c>
      <c r="L18" s="98">
        <v>21</v>
      </c>
      <c r="M18" s="98"/>
      <c r="N18" s="99"/>
      <c r="O18" s="68" t="s">
        <v>264</v>
      </c>
      <c r="P18" s="70">
        <v>44695.99534722222</v>
      </c>
      <c r="Q18" s="68" t="s">
        <v>665</v>
      </c>
      <c r="R18" s="68"/>
      <c r="S18" s="68"/>
      <c r="T18" s="73" t="s">
        <v>711</v>
      </c>
      <c r="U18" s="72" t="str">
        <f>HYPERLINK("https://pbs.twimg.com/amplify_video_thumb/1525624009236582400/img/pkRqNLkArsbX7wZC.jpg")</f>
        <v>https://pbs.twimg.com/amplify_video_thumb/1525624009236582400/img/pkRqNLkArsbX7wZC.jpg</v>
      </c>
      <c r="V18" s="72" t="str">
        <f>HYPERLINK("https://pbs.twimg.com/amplify_video_thumb/1525624009236582400/img/pkRqNLkArsbX7wZC.jpg")</f>
        <v>https://pbs.twimg.com/amplify_video_thumb/1525624009236582400/img/pkRqNLkArsbX7wZC.jpg</v>
      </c>
      <c r="W18" s="70">
        <v>44695.99534722222</v>
      </c>
      <c r="X18" s="75">
        <v>44695</v>
      </c>
      <c r="Y18" s="73" t="s">
        <v>737</v>
      </c>
      <c r="Z18" s="72" t="str">
        <f>HYPERLINK("https://twitter.com/zazava/status/1525625332803305473")</f>
        <v>https://twitter.com/zazava/status/1525625332803305473</v>
      </c>
      <c r="AA18" s="68"/>
      <c r="AB18" s="68"/>
      <c r="AC18" s="73" t="s">
        <v>840</v>
      </c>
      <c r="AD18" s="68"/>
      <c r="AE18" s="68" t="b">
        <v>0</v>
      </c>
      <c r="AF18" s="68">
        <v>0</v>
      </c>
      <c r="AG18" s="73" t="s">
        <v>282</v>
      </c>
      <c r="AH18" s="68" t="b">
        <v>0</v>
      </c>
      <c r="AI18" s="68" t="s">
        <v>283</v>
      </c>
      <c r="AJ18" s="68"/>
      <c r="AK18" s="73" t="s">
        <v>282</v>
      </c>
      <c r="AL18" s="68" t="b">
        <v>0</v>
      </c>
      <c r="AM18" s="68">
        <v>5</v>
      </c>
      <c r="AN18" s="73" t="s">
        <v>839</v>
      </c>
      <c r="AO18" s="73" t="s">
        <v>285</v>
      </c>
      <c r="AP18" s="68" t="b">
        <v>0</v>
      </c>
      <c r="AQ18" s="73" t="s">
        <v>839</v>
      </c>
      <c r="AR18" s="68" t="s">
        <v>218</v>
      </c>
      <c r="AS18" s="68">
        <v>0</v>
      </c>
      <c r="AT18" s="68">
        <v>0</v>
      </c>
      <c r="AU18" s="68"/>
      <c r="AV18" s="68"/>
      <c r="AW18" s="68"/>
      <c r="AX18" s="68"/>
      <c r="AY18" s="68"/>
      <c r="AZ18" s="68"/>
      <c r="BA18" s="68"/>
      <c r="BB18" s="68"/>
      <c r="BC18" s="68">
        <v>1</v>
      </c>
      <c r="BD18" s="67" t="str">
        <f>REPLACE(INDEX(GroupVertices[Group],MATCH(Edges37[[#This Row],[Vertex 1]],GroupVertices[Vertex],0)),1,1,"")</f>
        <v>7</v>
      </c>
      <c r="BE18" s="67" t="str">
        <f>REPLACE(INDEX(GroupVertices[Group],MATCH(Edges37[[#This Row],[Vertex 2]],GroupVertices[Vertex],0)),1,1,"")</f>
        <v>7</v>
      </c>
      <c r="BF18" s="49"/>
      <c r="BG18" s="50"/>
      <c r="BH18" s="49"/>
      <c r="BI18" s="50"/>
      <c r="BJ18" s="49"/>
      <c r="BK18" s="50"/>
      <c r="BL18" s="49"/>
      <c r="BM18" s="50"/>
      <c r="BN18" s="49"/>
    </row>
    <row r="19" spans="1:66" ht="15">
      <c r="A19" s="66" t="s">
        <v>557</v>
      </c>
      <c r="B19" s="66" t="s">
        <v>561</v>
      </c>
      <c r="C19" s="84"/>
      <c r="D19" s="94"/>
      <c r="E19" s="84"/>
      <c r="F19" s="96"/>
      <c r="G19" s="84"/>
      <c r="H19" s="82"/>
      <c r="I19" s="97"/>
      <c r="J19" s="97"/>
      <c r="K19" s="35" t="s">
        <v>65</v>
      </c>
      <c r="L19" s="98">
        <v>25</v>
      </c>
      <c r="M19" s="98"/>
      <c r="N19" s="99"/>
      <c r="O19" s="68" t="s">
        <v>262</v>
      </c>
      <c r="P19" s="70">
        <v>44696.54158564815</v>
      </c>
      <c r="Q19" s="68" t="s">
        <v>666</v>
      </c>
      <c r="R19" s="68"/>
      <c r="S19" s="68"/>
      <c r="T19" s="73" t="s">
        <v>712</v>
      </c>
      <c r="U19" s="68"/>
      <c r="V19" s="72" t="str">
        <f>HYPERLINK("https://pbs.twimg.com/profile_images/1518150919782899712/jXSikTdV_normal.jpg")</f>
        <v>https://pbs.twimg.com/profile_images/1518150919782899712/jXSikTdV_normal.jpg</v>
      </c>
      <c r="W19" s="70">
        <v>44696.54158564815</v>
      </c>
      <c r="X19" s="75">
        <v>44696</v>
      </c>
      <c r="Y19" s="73" t="s">
        <v>738</v>
      </c>
      <c r="Z19" s="72" t="str">
        <f>HYPERLINK("https://twitter.com/babahererra/status/1525823281756098561")</f>
        <v>https://twitter.com/babahererra/status/1525823281756098561</v>
      </c>
      <c r="AA19" s="68"/>
      <c r="AB19" s="68"/>
      <c r="AC19" s="73" t="s">
        <v>841</v>
      </c>
      <c r="AD19" s="68"/>
      <c r="AE19" s="68" t="b">
        <v>0</v>
      </c>
      <c r="AF19" s="68">
        <v>0</v>
      </c>
      <c r="AG19" s="73" t="s">
        <v>282</v>
      </c>
      <c r="AH19" s="68" t="b">
        <v>0</v>
      </c>
      <c r="AI19" s="68" t="s">
        <v>283</v>
      </c>
      <c r="AJ19" s="68"/>
      <c r="AK19" s="73" t="s">
        <v>282</v>
      </c>
      <c r="AL19" s="68" t="b">
        <v>0</v>
      </c>
      <c r="AM19" s="68">
        <v>68</v>
      </c>
      <c r="AN19" s="73" t="s">
        <v>845</v>
      </c>
      <c r="AO19" s="73" t="s">
        <v>947</v>
      </c>
      <c r="AP19" s="68" t="b">
        <v>0</v>
      </c>
      <c r="AQ19" s="73" t="s">
        <v>845</v>
      </c>
      <c r="AR19" s="68" t="s">
        <v>218</v>
      </c>
      <c r="AS19" s="68">
        <v>0</v>
      </c>
      <c r="AT19" s="68">
        <v>0</v>
      </c>
      <c r="AU19" s="68"/>
      <c r="AV19" s="68"/>
      <c r="AW19" s="68"/>
      <c r="AX19" s="68"/>
      <c r="AY19" s="68"/>
      <c r="AZ19" s="68"/>
      <c r="BA19" s="68"/>
      <c r="BB19" s="68"/>
      <c r="BC19" s="68">
        <v>1</v>
      </c>
      <c r="BD19" s="67" t="str">
        <f>REPLACE(INDEX(GroupVertices[Group],MATCH(Edges37[[#This Row],[Vertex 1]],GroupVertices[Vertex],0)),1,1,"")</f>
        <v>5</v>
      </c>
      <c r="BE19" s="67" t="str">
        <f>REPLACE(INDEX(GroupVertices[Group],MATCH(Edges37[[#This Row],[Vertex 2]],GroupVertices[Vertex],0)),1,1,"")</f>
        <v>5</v>
      </c>
      <c r="BF19" s="49">
        <v>0</v>
      </c>
      <c r="BG19" s="50">
        <v>0</v>
      </c>
      <c r="BH19" s="49">
        <v>0</v>
      </c>
      <c r="BI19" s="50">
        <v>0</v>
      </c>
      <c r="BJ19" s="49">
        <v>0</v>
      </c>
      <c r="BK19" s="50">
        <v>0</v>
      </c>
      <c r="BL19" s="49">
        <v>45</v>
      </c>
      <c r="BM19" s="50">
        <v>100</v>
      </c>
      <c r="BN19" s="49">
        <v>45</v>
      </c>
    </row>
    <row r="20" spans="1:66" ht="15">
      <c r="A20" s="66" t="s">
        <v>558</v>
      </c>
      <c r="B20" s="66" t="s">
        <v>561</v>
      </c>
      <c r="C20" s="84"/>
      <c r="D20" s="94"/>
      <c r="E20" s="84"/>
      <c r="F20" s="96"/>
      <c r="G20" s="84"/>
      <c r="H20" s="82"/>
      <c r="I20" s="97"/>
      <c r="J20" s="97"/>
      <c r="K20" s="35" t="s">
        <v>65</v>
      </c>
      <c r="L20" s="98">
        <v>26</v>
      </c>
      <c r="M20" s="98"/>
      <c r="N20" s="99"/>
      <c r="O20" s="68" t="s">
        <v>262</v>
      </c>
      <c r="P20" s="70">
        <v>44696.55648148148</v>
      </c>
      <c r="Q20" s="68" t="s">
        <v>666</v>
      </c>
      <c r="R20" s="68"/>
      <c r="S20" s="68"/>
      <c r="T20" s="73" t="s">
        <v>712</v>
      </c>
      <c r="U20" s="68"/>
      <c r="V20" s="72" t="str">
        <f>HYPERLINK("https://pbs.twimg.com/profile_images/1508195568698413058/bpUXOoE4_normal.jpg")</f>
        <v>https://pbs.twimg.com/profile_images/1508195568698413058/bpUXOoE4_normal.jpg</v>
      </c>
      <c r="W20" s="70">
        <v>44696.55648148148</v>
      </c>
      <c r="X20" s="75">
        <v>44696</v>
      </c>
      <c r="Y20" s="73" t="s">
        <v>739</v>
      </c>
      <c r="Z20" s="72" t="str">
        <f>HYPERLINK("https://twitter.com/imam_president/status/1525828679259111424")</f>
        <v>https://twitter.com/imam_president/status/1525828679259111424</v>
      </c>
      <c r="AA20" s="68"/>
      <c r="AB20" s="68"/>
      <c r="AC20" s="73" t="s">
        <v>842</v>
      </c>
      <c r="AD20" s="68"/>
      <c r="AE20" s="68" t="b">
        <v>0</v>
      </c>
      <c r="AF20" s="68">
        <v>0</v>
      </c>
      <c r="AG20" s="73" t="s">
        <v>282</v>
      </c>
      <c r="AH20" s="68" t="b">
        <v>0</v>
      </c>
      <c r="AI20" s="68" t="s">
        <v>283</v>
      </c>
      <c r="AJ20" s="68"/>
      <c r="AK20" s="73" t="s">
        <v>282</v>
      </c>
      <c r="AL20" s="68" t="b">
        <v>0</v>
      </c>
      <c r="AM20" s="68">
        <v>68</v>
      </c>
      <c r="AN20" s="73" t="s">
        <v>845</v>
      </c>
      <c r="AO20" s="73" t="s">
        <v>284</v>
      </c>
      <c r="AP20" s="68" t="b">
        <v>0</v>
      </c>
      <c r="AQ20" s="73" t="s">
        <v>845</v>
      </c>
      <c r="AR20" s="68" t="s">
        <v>218</v>
      </c>
      <c r="AS20" s="68">
        <v>0</v>
      </c>
      <c r="AT20" s="68">
        <v>0</v>
      </c>
      <c r="AU20" s="68"/>
      <c r="AV20" s="68"/>
      <c r="AW20" s="68"/>
      <c r="AX20" s="68"/>
      <c r="AY20" s="68"/>
      <c r="AZ20" s="68"/>
      <c r="BA20" s="68"/>
      <c r="BB20" s="68"/>
      <c r="BC20" s="68">
        <v>1</v>
      </c>
      <c r="BD20" s="67" t="str">
        <f>REPLACE(INDEX(GroupVertices[Group],MATCH(Edges37[[#This Row],[Vertex 1]],GroupVertices[Vertex],0)),1,1,"")</f>
        <v>5</v>
      </c>
      <c r="BE20" s="67" t="str">
        <f>REPLACE(INDEX(GroupVertices[Group],MATCH(Edges37[[#This Row],[Vertex 2]],GroupVertices[Vertex],0)),1,1,"")</f>
        <v>5</v>
      </c>
      <c r="BF20" s="49">
        <v>0</v>
      </c>
      <c r="BG20" s="50">
        <v>0</v>
      </c>
      <c r="BH20" s="49">
        <v>0</v>
      </c>
      <c r="BI20" s="50">
        <v>0</v>
      </c>
      <c r="BJ20" s="49">
        <v>0</v>
      </c>
      <c r="BK20" s="50">
        <v>0</v>
      </c>
      <c r="BL20" s="49">
        <v>45</v>
      </c>
      <c r="BM20" s="50">
        <v>100</v>
      </c>
      <c r="BN20" s="49">
        <v>45</v>
      </c>
    </row>
    <row r="21" spans="1:66" ht="15">
      <c r="A21" s="66" t="s">
        <v>559</v>
      </c>
      <c r="B21" s="66" t="s">
        <v>561</v>
      </c>
      <c r="C21" s="84"/>
      <c r="D21" s="94"/>
      <c r="E21" s="84"/>
      <c r="F21" s="96"/>
      <c r="G21" s="84"/>
      <c r="H21" s="82"/>
      <c r="I21" s="97"/>
      <c r="J21" s="97"/>
      <c r="K21" s="35" t="s">
        <v>65</v>
      </c>
      <c r="L21" s="98">
        <v>27</v>
      </c>
      <c r="M21" s="98"/>
      <c r="N21" s="99"/>
      <c r="O21" s="68" t="s">
        <v>262</v>
      </c>
      <c r="P21" s="70">
        <v>44696.582280092596</v>
      </c>
      <c r="Q21" s="68" t="s">
        <v>666</v>
      </c>
      <c r="R21" s="68"/>
      <c r="S21" s="68"/>
      <c r="T21" s="73" t="s">
        <v>712</v>
      </c>
      <c r="U21" s="68"/>
      <c r="V21" s="72" t="str">
        <f>HYPERLINK("https://pbs.twimg.com/profile_images/1317056521793142785/iGbW_tKz_normal.jpg")</f>
        <v>https://pbs.twimg.com/profile_images/1317056521793142785/iGbW_tKz_normal.jpg</v>
      </c>
      <c r="W21" s="70">
        <v>44696.582280092596</v>
      </c>
      <c r="X21" s="75">
        <v>44696</v>
      </c>
      <c r="Y21" s="73" t="s">
        <v>740</v>
      </c>
      <c r="Z21" s="72" t="str">
        <f>HYPERLINK("https://twitter.com/muribond/status/1525838028215812097")</f>
        <v>https://twitter.com/muribond/status/1525838028215812097</v>
      </c>
      <c r="AA21" s="68"/>
      <c r="AB21" s="68"/>
      <c r="AC21" s="73" t="s">
        <v>843</v>
      </c>
      <c r="AD21" s="68"/>
      <c r="AE21" s="68" t="b">
        <v>0</v>
      </c>
      <c r="AF21" s="68">
        <v>0</v>
      </c>
      <c r="AG21" s="73" t="s">
        <v>282</v>
      </c>
      <c r="AH21" s="68" t="b">
        <v>0</v>
      </c>
      <c r="AI21" s="68" t="s">
        <v>283</v>
      </c>
      <c r="AJ21" s="68"/>
      <c r="AK21" s="73" t="s">
        <v>282</v>
      </c>
      <c r="AL21" s="68" t="b">
        <v>0</v>
      </c>
      <c r="AM21" s="68">
        <v>68</v>
      </c>
      <c r="AN21" s="73" t="s">
        <v>845</v>
      </c>
      <c r="AO21" s="73" t="s">
        <v>947</v>
      </c>
      <c r="AP21" s="68" t="b">
        <v>0</v>
      </c>
      <c r="AQ21" s="73" t="s">
        <v>845</v>
      </c>
      <c r="AR21" s="68" t="s">
        <v>218</v>
      </c>
      <c r="AS21" s="68">
        <v>0</v>
      </c>
      <c r="AT21" s="68">
        <v>0</v>
      </c>
      <c r="AU21" s="68"/>
      <c r="AV21" s="68"/>
      <c r="AW21" s="68"/>
      <c r="AX21" s="68"/>
      <c r="AY21" s="68"/>
      <c r="AZ21" s="68"/>
      <c r="BA21" s="68"/>
      <c r="BB21" s="68"/>
      <c r="BC21" s="68">
        <v>1</v>
      </c>
      <c r="BD21" s="67" t="str">
        <f>REPLACE(INDEX(GroupVertices[Group],MATCH(Edges37[[#This Row],[Vertex 1]],GroupVertices[Vertex],0)),1,1,"")</f>
        <v>5</v>
      </c>
      <c r="BE21" s="67" t="str">
        <f>REPLACE(INDEX(GroupVertices[Group],MATCH(Edges37[[#This Row],[Vertex 2]],GroupVertices[Vertex],0)),1,1,"")</f>
        <v>5</v>
      </c>
      <c r="BF21" s="49">
        <v>0</v>
      </c>
      <c r="BG21" s="50">
        <v>0</v>
      </c>
      <c r="BH21" s="49">
        <v>0</v>
      </c>
      <c r="BI21" s="50">
        <v>0</v>
      </c>
      <c r="BJ21" s="49">
        <v>0</v>
      </c>
      <c r="BK21" s="50">
        <v>0</v>
      </c>
      <c r="BL21" s="49">
        <v>45</v>
      </c>
      <c r="BM21" s="50">
        <v>100</v>
      </c>
      <c r="BN21" s="49">
        <v>45</v>
      </c>
    </row>
    <row r="22" spans="1:66" ht="15">
      <c r="A22" s="66" t="s">
        <v>560</v>
      </c>
      <c r="B22" s="66" t="s">
        <v>561</v>
      </c>
      <c r="C22" s="84"/>
      <c r="D22" s="94"/>
      <c r="E22" s="84"/>
      <c r="F22" s="96"/>
      <c r="G22" s="84"/>
      <c r="H22" s="82"/>
      <c r="I22" s="97"/>
      <c r="J22" s="97"/>
      <c r="K22" s="35" t="s">
        <v>65</v>
      </c>
      <c r="L22" s="98">
        <v>28</v>
      </c>
      <c r="M22" s="98"/>
      <c r="N22" s="99"/>
      <c r="O22" s="68" t="s">
        <v>262</v>
      </c>
      <c r="P22" s="70">
        <v>44696.60896990741</v>
      </c>
      <c r="Q22" s="68" t="s">
        <v>666</v>
      </c>
      <c r="R22" s="68"/>
      <c r="S22" s="68"/>
      <c r="T22" s="73" t="s">
        <v>712</v>
      </c>
      <c r="U22" s="68"/>
      <c r="V22" s="72" t="str">
        <f>HYPERLINK("https://pbs.twimg.com/profile_images/1376322234462187526/MkVDkuAa_normal.jpg")</f>
        <v>https://pbs.twimg.com/profile_images/1376322234462187526/MkVDkuAa_normal.jpg</v>
      </c>
      <c r="W22" s="70">
        <v>44696.60896990741</v>
      </c>
      <c r="X22" s="75">
        <v>44696</v>
      </c>
      <c r="Y22" s="73" t="s">
        <v>741</v>
      </c>
      <c r="Z22" s="72" t="str">
        <f>HYPERLINK("https://twitter.com/waziriey17/status/1525847700712873984")</f>
        <v>https://twitter.com/waziriey17/status/1525847700712873984</v>
      </c>
      <c r="AA22" s="68"/>
      <c r="AB22" s="68"/>
      <c r="AC22" s="73" t="s">
        <v>844</v>
      </c>
      <c r="AD22" s="68"/>
      <c r="AE22" s="68" t="b">
        <v>0</v>
      </c>
      <c r="AF22" s="68">
        <v>0</v>
      </c>
      <c r="AG22" s="73" t="s">
        <v>282</v>
      </c>
      <c r="AH22" s="68" t="b">
        <v>0</v>
      </c>
      <c r="AI22" s="68" t="s">
        <v>283</v>
      </c>
      <c r="AJ22" s="68"/>
      <c r="AK22" s="73" t="s">
        <v>282</v>
      </c>
      <c r="AL22" s="68" t="b">
        <v>0</v>
      </c>
      <c r="AM22" s="68">
        <v>68</v>
      </c>
      <c r="AN22" s="73" t="s">
        <v>845</v>
      </c>
      <c r="AO22" s="73" t="s">
        <v>284</v>
      </c>
      <c r="AP22" s="68" t="b">
        <v>0</v>
      </c>
      <c r="AQ22" s="73" t="s">
        <v>845</v>
      </c>
      <c r="AR22" s="68" t="s">
        <v>218</v>
      </c>
      <c r="AS22" s="68">
        <v>0</v>
      </c>
      <c r="AT22" s="68">
        <v>0</v>
      </c>
      <c r="AU22" s="68"/>
      <c r="AV22" s="68"/>
      <c r="AW22" s="68"/>
      <c r="AX22" s="68"/>
      <c r="AY22" s="68"/>
      <c r="AZ22" s="68"/>
      <c r="BA22" s="68"/>
      <c r="BB22" s="68"/>
      <c r="BC22" s="68">
        <v>1</v>
      </c>
      <c r="BD22" s="67" t="str">
        <f>REPLACE(INDEX(GroupVertices[Group],MATCH(Edges37[[#This Row],[Vertex 1]],GroupVertices[Vertex],0)),1,1,"")</f>
        <v>5</v>
      </c>
      <c r="BE22" s="67" t="str">
        <f>REPLACE(INDEX(GroupVertices[Group],MATCH(Edges37[[#This Row],[Vertex 2]],GroupVertices[Vertex],0)),1,1,"")</f>
        <v>5</v>
      </c>
      <c r="BF22" s="49">
        <v>0</v>
      </c>
      <c r="BG22" s="50">
        <v>0</v>
      </c>
      <c r="BH22" s="49">
        <v>0</v>
      </c>
      <c r="BI22" s="50">
        <v>0</v>
      </c>
      <c r="BJ22" s="49">
        <v>0</v>
      </c>
      <c r="BK22" s="50">
        <v>0</v>
      </c>
      <c r="BL22" s="49">
        <v>45</v>
      </c>
      <c r="BM22" s="50">
        <v>100</v>
      </c>
      <c r="BN22" s="49">
        <v>45</v>
      </c>
    </row>
    <row r="23" spans="1:66" ht="15">
      <c r="A23" s="66" t="s">
        <v>561</v>
      </c>
      <c r="B23" s="66" t="s">
        <v>561</v>
      </c>
      <c r="C23" s="84"/>
      <c r="D23" s="94"/>
      <c r="E23" s="84"/>
      <c r="F23" s="96"/>
      <c r="G23" s="84"/>
      <c r="H23" s="82"/>
      <c r="I23" s="97"/>
      <c r="J23" s="97"/>
      <c r="K23" s="35" t="s">
        <v>65</v>
      </c>
      <c r="L23" s="98">
        <v>29</v>
      </c>
      <c r="M23" s="98"/>
      <c r="N23" s="99"/>
      <c r="O23" s="68" t="s">
        <v>218</v>
      </c>
      <c r="P23" s="70">
        <v>44600.20826388889</v>
      </c>
      <c r="Q23" s="68" t="s">
        <v>666</v>
      </c>
      <c r="R23" s="68"/>
      <c r="S23" s="68"/>
      <c r="T23" s="73" t="s">
        <v>712</v>
      </c>
      <c r="U23" s="68"/>
      <c r="V23" s="72" t="str">
        <f>HYPERLINK("https://pbs.twimg.com/profile_images/1482457243559907336/hRHcrV2a_normal.jpg")</f>
        <v>https://pbs.twimg.com/profile_images/1482457243559907336/hRHcrV2a_normal.jpg</v>
      </c>
      <c r="W23" s="70">
        <v>44600.20826388889</v>
      </c>
      <c r="X23" s="75">
        <v>44600</v>
      </c>
      <c r="Y23" s="73" t="s">
        <v>742</v>
      </c>
      <c r="Z23" s="72" t="str">
        <f>HYPERLINK("https://twitter.com/toluogunlesi/status/1490913253702045697")</f>
        <v>https://twitter.com/toluogunlesi/status/1490913253702045697</v>
      </c>
      <c r="AA23" s="68"/>
      <c r="AB23" s="68"/>
      <c r="AC23" s="73" t="s">
        <v>845</v>
      </c>
      <c r="AD23" s="68"/>
      <c r="AE23" s="68" t="b">
        <v>0</v>
      </c>
      <c r="AF23" s="68">
        <v>126</v>
      </c>
      <c r="AG23" s="73" t="s">
        <v>282</v>
      </c>
      <c r="AH23" s="68" t="b">
        <v>0</v>
      </c>
      <c r="AI23" s="68" t="s">
        <v>283</v>
      </c>
      <c r="AJ23" s="68"/>
      <c r="AK23" s="73" t="s">
        <v>282</v>
      </c>
      <c r="AL23" s="68" t="b">
        <v>0</v>
      </c>
      <c r="AM23" s="68">
        <v>68</v>
      </c>
      <c r="AN23" s="73" t="s">
        <v>282</v>
      </c>
      <c r="AO23" s="73" t="s">
        <v>284</v>
      </c>
      <c r="AP23" s="68" t="b">
        <v>0</v>
      </c>
      <c r="AQ23" s="73" t="s">
        <v>845</v>
      </c>
      <c r="AR23" s="68" t="s">
        <v>262</v>
      </c>
      <c r="AS23" s="68">
        <v>0</v>
      </c>
      <c r="AT23" s="68">
        <v>0</v>
      </c>
      <c r="AU23" s="68"/>
      <c r="AV23" s="68"/>
      <c r="AW23" s="68"/>
      <c r="AX23" s="68"/>
      <c r="AY23" s="68"/>
      <c r="AZ23" s="68"/>
      <c r="BA23" s="68"/>
      <c r="BB23" s="68"/>
      <c r="BC23" s="68">
        <v>2</v>
      </c>
      <c r="BD23" s="67" t="str">
        <f>REPLACE(INDEX(GroupVertices[Group],MATCH(Edges37[[#This Row],[Vertex 1]],GroupVertices[Vertex],0)),1,1,"")</f>
        <v>5</v>
      </c>
      <c r="BE23" s="67" t="str">
        <f>REPLACE(INDEX(GroupVertices[Group],MATCH(Edges37[[#This Row],[Vertex 2]],GroupVertices[Vertex],0)),1,1,"")</f>
        <v>5</v>
      </c>
      <c r="BF23" s="49">
        <v>0</v>
      </c>
      <c r="BG23" s="50">
        <v>0</v>
      </c>
      <c r="BH23" s="49">
        <v>0</v>
      </c>
      <c r="BI23" s="50">
        <v>0</v>
      </c>
      <c r="BJ23" s="49">
        <v>0</v>
      </c>
      <c r="BK23" s="50">
        <v>0</v>
      </c>
      <c r="BL23" s="49">
        <v>45</v>
      </c>
      <c r="BM23" s="50">
        <v>100</v>
      </c>
      <c r="BN23" s="49">
        <v>45</v>
      </c>
    </row>
    <row r="24" spans="1:66" ht="15">
      <c r="A24" s="66" t="s">
        <v>561</v>
      </c>
      <c r="B24" s="66" t="s">
        <v>561</v>
      </c>
      <c r="C24" s="84"/>
      <c r="D24" s="94"/>
      <c r="E24" s="84"/>
      <c r="F24" s="96"/>
      <c r="G24" s="84"/>
      <c r="H24" s="82"/>
      <c r="I24" s="97"/>
      <c r="J24" s="97"/>
      <c r="K24" s="35" t="s">
        <v>65</v>
      </c>
      <c r="L24" s="98">
        <v>30</v>
      </c>
      <c r="M24" s="98"/>
      <c r="N24" s="99"/>
      <c r="O24" s="68" t="s">
        <v>262</v>
      </c>
      <c r="P24" s="70">
        <v>44696.51600694445</v>
      </c>
      <c r="Q24" s="68" t="s">
        <v>666</v>
      </c>
      <c r="R24" s="68"/>
      <c r="S24" s="68"/>
      <c r="T24" s="73" t="s">
        <v>712</v>
      </c>
      <c r="U24" s="68"/>
      <c r="V24" s="72" t="str">
        <f>HYPERLINK("https://pbs.twimg.com/profile_images/1482457243559907336/hRHcrV2a_normal.jpg")</f>
        <v>https://pbs.twimg.com/profile_images/1482457243559907336/hRHcrV2a_normal.jpg</v>
      </c>
      <c r="W24" s="70">
        <v>44696.51600694445</v>
      </c>
      <c r="X24" s="75">
        <v>44696</v>
      </c>
      <c r="Y24" s="73" t="s">
        <v>743</v>
      </c>
      <c r="Z24" s="72" t="str">
        <f>HYPERLINK("https://twitter.com/toluogunlesi/status/1525814012985978882")</f>
        <v>https://twitter.com/toluogunlesi/status/1525814012985978882</v>
      </c>
      <c r="AA24" s="68"/>
      <c r="AB24" s="68"/>
      <c r="AC24" s="73" t="s">
        <v>846</v>
      </c>
      <c r="AD24" s="68"/>
      <c r="AE24" s="68" t="b">
        <v>0</v>
      </c>
      <c r="AF24" s="68">
        <v>0</v>
      </c>
      <c r="AG24" s="73" t="s">
        <v>282</v>
      </c>
      <c r="AH24" s="68" t="b">
        <v>0</v>
      </c>
      <c r="AI24" s="68" t="s">
        <v>283</v>
      </c>
      <c r="AJ24" s="68"/>
      <c r="AK24" s="73" t="s">
        <v>282</v>
      </c>
      <c r="AL24" s="68" t="b">
        <v>0</v>
      </c>
      <c r="AM24" s="68">
        <v>68</v>
      </c>
      <c r="AN24" s="73" t="s">
        <v>845</v>
      </c>
      <c r="AO24" s="73" t="s">
        <v>284</v>
      </c>
      <c r="AP24" s="68" t="b">
        <v>0</v>
      </c>
      <c r="AQ24" s="73" t="s">
        <v>845</v>
      </c>
      <c r="AR24" s="68" t="s">
        <v>218</v>
      </c>
      <c r="AS24" s="68">
        <v>0</v>
      </c>
      <c r="AT24" s="68">
        <v>0</v>
      </c>
      <c r="AU24" s="68"/>
      <c r="AV24" s="68"/>
      <c r="AW24" s="68"/>
      <c r="AX24" s="68"/>
      <c r="AY24" s="68"/>
      <c r="AZ24" s="68"/>
      <c r="BA24" s="68"/>
      <c r="BB24" s="68"/>
      <c r="BC24" s="68">
        <v>2</v>
      </c>
      <c r="BD24" s="67" t="str">
        <f>REPLACE(INDEX(GroupVertices[Group],MATCH(Edges37[[#This Row],[Vertex 1]],GroupVertices[Vertex],0)),1,1,"")</f>
        <v>5</v>
      </c>
      <c r="BE24" s="67" t="str">
        <f>REPLACE(INDEX(GroupVertices[Group],MATCH(Edges37[[#This Row],[Vertex 2]],GroupVertices[Vertex],0)),1,1,"")</f>
        <v>5</v>
      </c>
      <c r="BF24" s="49">
        <v>0</v>
      </c>
      <c r="BG24" s="50">
        <v>0</v>
      </c>
      <c r="BH24" s="49">
        <v>0</v>
      </c>
      <c r="BI24" s="50">
        <v>0</v>
      </c>
      <c r="BJ24" s="49">
        <v>0</v>
      </c>
      <c r="BK24" s="50">
        <v>0</v>
      </c>
      <c r="BL24" s="49">
        <v>45</v>
      </c>
      <c r="BM24" s="50">
        <v>100</v>
      </c>
      <c r="BN24" s="49">
        <v>45</v>
      </c>
    </row>
    <row r="25" spans="1:66" ht="15">
      <c r="A25" s="66" t="s">
        <v>562</v>
      </c>
      <c r="B25" s="66" t="s">
        <v>561</v>
      </c>
      <c r="C25" s="84"/>
      <c r="D25" s="94"/>
      <c r="E25" s="84"/>
      <c r="F25" s="96"/>
      <c r="G25" s="84"/>
      <c r="H25" s="82"/>
      <c r="I25" s="97"/>
      <c r="J25" s="97"/>
      <c r="K25" s="35" t="s">
        <v>65</v>
      </c>
      <c r="L25" s="98">
        <v>31</v>
      </c>
      <c r="M25" s="98"/>
      <c r="N25" s="99"/>
      <c r="O25" s="68" t="s">
        <v>262</v>
      </c>
      <c r="P25" s="70">
        <v>44696.78623842593</v>
      </c>
      <c r="Q25" s="68" t="s">
        <v>666</v>
      </c>
      <c r="R25" s="68"/>
      <c r="S25" s="68"/>
      <c r="T25" s="73" t="s">
        <v>712</v>
      </c>
      <c r="U25" s="68"/>
      <c r="V25" s="72" t="str">
        <f>HYPERLINK("https://pbs.twimg.com/profile_images/1518508733110034433/Mu1z6aVf_normal.jpg")</f>
        <v>https://pbs.twimg.com/profile_images/1518508733110034433/Mu1z6aVf_normal.jpg</v>
      </c>
      <c r="W25" s="70">
        <v>44696.78623842593</v>
      </c>
      <c r="X25" s="75">
        <v>44696</v>
      </c>
      <c r="Y25" s="73" t="s">
        <v>744</v>
      </c>
      <c r="Z25" s="72" t="str">
        <f>HYPERLINK("https://twitter.com/sololurd/status/1525911941365272577")</f>
        <v>https://twitter.com/sololurd/status/1525911941365272577</v>
      </c>
      <c r="AA25" s="68"/>
      <c r="AB25" s="68"/>
      <c r="AC25" s="73" t="s">
        <v>847</v>
      </c>
      <c r="AD25" s="68"/>
      <c r="AE25" s="68" t="b">
        <v>0</v>
      </c>
      <c r="AF25" s="68">
        <v>0</v>
      </c>
      <c r="AG25" s="73" t="s">
        <v>282</v>
      </c>
      <c r="AH25" s="68" t="b">
        <v>0</v>
      </c>
      <c r="AI25" s="68" t="s">
        <v>283</v>
      </c>
      <c r="AJ25" s="68"/>
      <c r="AK25" s="73" t="s">
        <v>282</v>
      </c>
      <c r="AL25" s="68" t="b">
        <v>0</v>
      </c>
      <c r="AM25" s="68">
        <v>68</v>
      </c>
      <c r="AN25" s="73" t="s">
        <v>845</v>
      </c>
      <c r="AO25" s="73" t="s">
        <v>284</v>
      </c>
      <c r="AP25" s="68" t="b">
        <v>0</v>
      </c>
      <c r="AQ25" s="73" t="s">
        <v>845</v>
      </c>
      <c r="AR25" s="68" t="s">
        <v>218</v>
      </c>
      <c r="AS25" s="68">
        <v>0</v>
      </c>
      <c r="AT25" s="68">
        <v>0</v>
      </c>
      <c r="AU25" s="68"/>
      <c r="AV25" s="68"/>
      <c r="AW25" s="68"/>
      <c r="AX25" s="68"/>
      <c r="AY25" s="68"/>
      <c r="AZ25" s="68"/>
      <c r="BA25" s="68"/>
      <c r="BB25" s="68"/>
      <c r="BC25" s="68">
        <v>1</v>
      </c>
      <c r="BD25" s="67" t="str">
        <f>REPLACE(INDEX(GroupVertices[Group],MATCH(Edges37[[#This Row],[Vertex 1]],GroupVertices[Vertex],0)),1,1,"")</f>
        <v>5</v>
      </c>
      <c r="BE25" s="67" t="str">
        <f>REPLACE(INDEX(GroupVertices[Group],MATCH(Edges37[[#This Row],[Vertex 2]],GroupVertices[Vertex],0)),1,1,"")</f>
        <v>5</v>
      </c>
      <c r="BF25" s="49">
        <v>0</v>
      </c>
      <c r="BG25" s="50">
        <v>0</v>
      </c>
      <c r="BH25" s="49">
        <v>0</v>
      </c>
      <c r="BI25" s="50">
        <v>0</v>
      </c>
      <c r="BJ25" s="49">
        <v>0</v>
      </c>
      <c r="BK25" s="50">
        <v>0</v>
      </c>
      <c r="BL25" s="49">
        <v>45</v>
      </c>
      <c r="BM25" s="50">
        <v>100</v>
      </c>
      <c r="BN25" s="49">
        <v>45</v>
      </c>
    </row>
    <row r="26" spans="1:66" ht="15">
      <c r="A26" s="66" t="s">
        <v>563</v>
      </c>
      <c r="B26" s="66" t="s">
        <v>563</v>
      </c>
      <c r="C26" s="84"/>
      <c r="D26" s="94"/>
      <c r="E26" s="84"/>
      <c r="F26" s="96"/>
      <c r="G26" s="84"/>
      <c r="H26" s="82"/>
      <c r="I26" s="97"/>
      <c r="J26" s="97"/>
      <c r="K26" s="35" t="s">
        <v>65</v>
      </c>
      <c r="L26" s="98">
        <v>32</v>
      </c>
      <c r="M26" s="98"/>
      <c r="N26" s="99"/>
      <c r="O26" s="68" t="s">
        <v>218</v>
      </c>
      <c r="P26" s="70">
        <v>44696.81532407407</v>
      </c>
      <c r="Q26" s="68" t="s">
        <v>667</v>
      </c>
      <c r="R26" s="68"/>
      <c r="S26" s="68"/>
      <c r="T26" s="68"/>
      <c r="U26" s="68"/>
      <c r="V26" s="72" t="str">
        <f>HYPERLINK("https://pbs.twimg.com/profile_images/1505662173724708864/8XbOtRBE_normal.jpg")</f>
        <v>https://pbs.twimg.com/profile_images/1505662173724708864/8XbOtRBE_normal.jpg</v>
      </c>
      <c r="W26" s="70">
        <v>44696.81532407407</v>
      </c>
      <c r="X26" s="75">
        <v>44696</v>
      </c>
      <c r="Y26" s="73" t="s">
        <v>745</v>
      </c>
      <c r="Z26" s="72" t="str">
        <f>HYPERLINK("https://twitter.com/tovaobrien/status/1525922481651200000")</f>
        <v>https://twitter.com/tovaobrien/status/1525922481651200000</v>
      </c>
      <c r="AA26" s="68"/>
      <c r="AB26" s="68"/>
      <c r="AC26" s="73" t="s">
        <v>848</v>
      </c>
      <c r="AD26" s="68"/>
      <c r="AE26" s="68" t="b">
        <v>0</v>
      </c>
      <c r="AF26" s="68">
        <v>7</v>
      </c>
      <c r="AG26" s="73" t="s">
        <v>282</v>
      </c>
      <c r="AH26" s="68" t="b">
        <v>0</v>
      </c>
      <c r="AI26" s="68" t="s">
        <v>283</v>
      </c>
      <c r="AJ26" s="68"/>
      <c r="AK26" s="73" t="s">
        <v>282</v>
      </c>
      <c r="AL26" s="68" t="b">
        <v>0</v>
      </c>
      <c r="AM26" s="68">
        <v>0</v>
      </c>
      <c r="AN26" s="73" t="s">
        <v>282</v>
      </c>
      <c r="AO26" s="73" t="s">
        <v>285</v>
      </c>
      <c r="AP26" s="68" t="b">
        <v>0</v>
      </c>
      <c r="AQ26" s="73" t="s">
        <v>848</v>
      </c>
      <c r="AR26" s="68" t="s">
        <v>218</v>
      </c>
      <c r="AS26" s="68">
        <v>0</v>
      </c>
      <c r="AT26" s="68">
        <v>0</v>
      </c>
      <c r="AU26" s="68"/>
      <c r="AV26" s="68"/>
      <c r="AW26" s="68"/>
      <c r="AX26" s="68"/>
      <c r="AY26" s="68"/>
      <c r="AZ26" s="68"/>
      <c r="BA26" s="68"/>
      <c r="BB26" s="68"/>
      <c r="BC26" s="68">
        <v>1</v>
      </c>
      <c r="BD26" s="67" t="str">
        <f>REPLACE(INDEX(GroupVertices[Group],MATCH(Edges37[[#This Row],[Vertex 1]],GroupVertices[Vertex],0)),1,1,"")</f>
        <v>2</v>
      </c>
      <c r="BE26" s="67" t="str">
        <f>REPLACE(INDEX(GroupVertices[Group],MATCH(Edges37[[#This Row],[Vertex 2]],GroupVertices[Vertex],0)),1,1,"")</f>
        <v>2</v>
      </c>
      <c r="BF26" s="49">
        <v>2</v>
      </c>
      <c r="BG26" s="50">
        <v>3.8461538461538463</v>
      </c>
      <c r="BH26" s="49">
        <v>1</v>
      </c>
      <c r="BI26" s="50">
        <v>1.9230769230769231</v>
      </c>
      <c r="BJ26" s="49">
        <v>0</v>
      </c>
      <c r="BK26" s="50">
        <v>0</v>
      </c>
      <c r="BL26" s="49">
        <v>49</v>
      </c>
      <c r="BM26" s="50">
        <v>94.23076923076923</v>
      </c>
      <c r="BN26" s="49">
        <v>52</v>
      </c>
    </row>
    <row r="27" spans="1:66" ht="15">
      <c r="A27" s="66" t="s">
        <v>564</v>
      </c>
      <c r="B27" s="66" t="s">
        <v>642</v>
      </c>
      <c r="C27" s="84"/>
      <c r="D27" s="94"/>
      <c r="E27" s="84"/>
      <c r="F27" s="96"/>
      <c r="G27" s="84"/>
      <c r="H27" s="82"/>
      <c r="I27" s="97"/>
      <c r="J27" s="97"/>
      <c r="K27" s="35" t="s">
        <v>65</v>
      </c>
      <c r="L27" s="98">
        <v>33</v>
      </c>
      <c r="M27" s="98"/>
      <c r="N27" s="99"/>
      <c r="O27" s="68" t="s">
        <v>264</v>
      </c>
      <c r="P27" s="70">
        <v>44696.828310185185</v>
      </c>
      <c r="Q27" s="68" t="s">
        <v>668</v>
      </c>
      <c r="R27" s="68"/>
      <c r="S27" s="68"/>
      <c r="T27" s="73" t="s">
        <v>713</v>
      </c>
      <c r="U27" s="72" t="str">
        <f>HYPERLINK("https://pbs.twimg.com/media/FS0sq1YaAAAqw4o.jpg")</f>
        <v>https://pbs.twimg.com/media/FS0sq1YaAAAqw4o.jpg</v>
      </c>
      <c r="V27" s="72" t="str">
        <f>HYPERLINK("https://pbs.twimg.com/media/FS0sq1YaAAAqw4o.jpg")</f>
        <v>https://pbs.twimg.com/media/FS0sq1YaAAAqw4o.jpg</v>
      </c>
      <c r="W27" s="70">
        <v>44696.828310185185</v>
      </c>
      <c r="X27" s="75">
        <v>44696</v>
      </c>
      <c r="Y27" s="73" t="s">
        <v>746</v>
      </c>
      <c r="Z27" s="72" t="str">
        <f>HYPERLINK("https://twitter.com/eco1start/status/1525927189136416768")</f>
        <v>https://twitter.com/eco1start/status/1525927189136416768</v>
      </c>
      <c r="AA27" s="68"/>
      <c r="AB27" s="68"/>
      <c r="AC27" s="73" t="s">
        <v>849</v>
      </c>
      <c r="AD27" s="68"/>
      <c r="AE27" s="68" t="b">
        <v>0</v>
      </c>
      <c r="AF27" s="68">
        <v>0</v>
      </c>
      <c r="AG27" s="73" t="s">
        <v>282</v>
      </c>
      <c r="AH27" s="68" t="b">
        <v>0</v>
      </c>
      <c r="AI27" s="68" t="s">
        <v>283</v>
      </c>
      <c r="AJ27" s="68"/>
      <c r="AK27" s="73" t="s">
        <v>282</v>
      </c>
      <c r="AL27" s="68" t="b">
        <v>0</v>
      </c>
      <c r="AM27" s="68">
        <v>3</v>
      </c>
      <c r="AN27" s="73" t="s">
        <v>891</v>
      </c>
      <c r="AO27" s="73" t="s">
        <v>952</v>
      </c>
      <c r="AP27" s="68" t="b">
        <v>0</v>
      </c>
      <c r="AQ27" s="73" t="s">
        <v>891</v>
      </c>
      <c r="AR27" s="68" t="s">
        <v>218</v>
      </c>
      <c r="AS27" s="68">
        <v>0</v>
      </c>
      <c r="AT27" s="68">
        <v>0</v>
      </c>
      <c r="AU27" s="68"/>
      <c r="AV27" s="68"/>
      <c r="AW27" s="68"/>
      <c r="AX27" s="68"/>
      <c r="AY27" s="68"/>
      <c r="AZ27" s="68"/>
      <c r="BA27" s="68"/>
      <c r="BB27" s="68"/>
      <c r="BC27" s="68">
        <v>1</v>
      </c>
      <c r="BD27" s="67" t="str">
        <f>REPLACE(INDEX(GroupVertices[Group],MATCH(Edges37[[#This Row],[Vertex 1]],GroupVertices[Vertex],0)),1,1,"")</f>
        <v>4</v>
      </c>
      <c r="BE27" s="67" t="str">
        <f>REPLACE(INDEX(GroupVertices[Group],MATCH(Edges37[[#This Row],[Vertex 2]],GroupVertices[Vertex],0)),1,1,"")</f>
        <v>4</v>
      </c>
      <c r="BF27" s="49"/>
      <c r="BG27" s="50"/>
      <c r="BH27" s="49"/>
      <c r="BI27" s="50"/>
      <c r="BJ27" s="49"/>
      <c r="BK27" s="50"/>
      <c r="BL27" s="49"/>
      <c r="BM27" s="50"/>
      <c r="BN27" s="49"/>
    </row>
    <row r="28" spans="1:66" ht="15">
      <c r="A28" s="66" t="s">
        <v>565</v>
      </c>
      <c r="B28" s="66" t="s">
        <v>642</v>
      </c>
      <c r="C28" s="84"/>
      <c r="D28" s="94"/>
      <c r="E28" s="84"/>
      <c r="F28" s="96"/>
      <c r="G28" s="84"/>
      <c r="H28" s="82"/>
      <c r="I28" s="97"/>
      <c r="J28" s="97"/>
      <c r="K28" s="35" t="s">
        <v>65</v>
      </c>
      <c r="L28" s="98">
        <v>35</v>
      </c>
      <c r="M28" s="98"/>
      <c r="N28" s="99"/>
      <c r="O28" s="68" t="s">
        <v>264</v>
      </c>
      <c r="P28" s="70">
        <v>44696.870833333334</v>
      </c>
      <c r="Q28" s="68" t="s">
        <v>668</v>
      </c>
      <c r="R28" s="68"/>
      <c r="S28" s="68"/>
      <c r="T28" s="73" t="s">
        <v>713</v>
      </c>
      <c r="U28" s="72" t="str">
        <f>HYPERLINK("https://pbs.twimg.com/media/FS0sq1YaAAAqw4o.jpg")</f>
        <v>https://pbs.twimg.com/media/FS0sq1YaAAAqw4o.jpg</v>
      </c>
      <c r="V28" s="72" t="str">
        <f>HYPERLINK("https://pbs.twimg.com/media/FS0sq1YaAAAqw4o.jpg")</f>
        <v>https://pbs.twimg.com/media/FS0sq1YaAAAqw4o.jpg</v>
      </c>
      <c r="W28" s="70">
        <v>44696.870833333334</v>
      </c>
      <c r="X28" s="75">
        <v>44696</v>
      </c>
      <c r="Y28" s="73" t="s">
        <v>747</v>
      </c>
      <c r="Z28" s="72" t="str">
        <f>HYPERLINK("https://twitter.com/urbantui/status/1525942599303188480")</f>
        <v>https://twitter.com/urbantui/status/1525942599303188480</v>
      </c>
      <c r="AA28" s="68"/>
      <c r="AB28" s="68"/>
      <c r="AC28" s="73" t="s">
        <v>850</v>
      </c>
      <c r="AD28" s="68"/>
      <c r="AE28" s="68" t="b">
        <v>0</v>
      </c>
      <c r="AF28" s="68">
        <v>0</v>
      </c>
      <c r="AG28" s="73" t="s">
        <v>282</v>
      </c>
      <c r="AH28" s="68" t="b">
        <v>0</v>
      </c>
      <c r="AI28" s="68" t="s">
        <v>283</v>
      </c>
      <c r="AJ28" s="68"/>
      <c r="AK28" s="73" t="s">
        <v>282</v>
      </c>
      <c r="AL28" s="68" t="b">
        <v>0</v>
      </c>
      <c r="AM28" s="68">
        <v>3</v>
      </c>
      <c r="AN28" s="73" t="s">
        <v>891</v>
      </c>
      <c r="AO28" s="73" t="s">
        <v>284</v>
      </c>
      <c r="AP28" s="68" t="b">
        <v>0</v>
      </c>
      <c r="AQ28" s="73" t="s">
        <v>891</v>
      </c>
      <c r="AR28" s="68" t="s">
        <v>218</v>
      </c>
      <c r="AS28" s="68">
        <v>0</v>
      </c>
      <c r="AT28" s="68">
        <v>0</v>
      </c>
      <c r="AU28" s="68"/>
      <c r="AV28" s="68"/>
      <c r="AW28" s="68"/>
      <c r="AX28" s="68"/>
      <c r="AY28" s="68"/>
      <c r="AZ28" s="68"/>
      <c r="BA28" s="68"/>
      <c r="BB28" s="68"/>
      <c r="BC28" s="68">
        <v>1</v>
      </c>
      <c r="BD28" s="67" t="str">
        <f>REPLACE(INDEX(GroupVertices[Group],MATCH(Edges37[[#This Row],[Vertex 1]],GroupVertices[Vertex],0)),1,1,"")</f>
        <v>4</v>
      </c>
      <c r="BE28" s="67" t="str">
        <f>REPLACE(INDEX(GroupVertices[Group],MATCH(Edges37[[#This Row],[Vertex 2]],GroupVertices[Vertex],0)),1,1,"")</f>
        <v>4</v>
      </c>
      <c r="BF28" s="49"/>
      <c r="BG28" s="50"/>
      <c r="BH28" s="49"/>
      <c r="BI28" s="50"/>
      <c r="BJ28" s="49"/>
      <c r="BK28" s="50"/>
      <c r="BL28" s="49"/>
      <c r="BM28" s="50"/>
      <c r="BN28" s="49"/>
    </row>
    <row r="29" spans="1:66" ht="15">
      <c r="A29" s="66" t="s">
        <v>566</v>
      </c>
      <c r="B29" s="66" t="s">
        <v>642</v>
      </c>
      <c r="C29" s="84"/>
      <c r="D29" s="94"/>
      <c r="E29" s="84"/>
      <c r="F29" s="96"/>
      <c r="G29" s="84"/>
      <c r="H29" s="82"/>
      <c r="I29" s="97"/>
      <c r="J29" s="97"/>
      <c r="K29" s="35" t="s">
        <v>65</v>
      </c>
      <c r="L29" s="98">
        <v>37</v>
      </c>
      <c r="M29" s="98"/>
      <c r="N29" s="99"/>
      <c r="O29" s="68" t="s">
        <v>264</v>
      </c>
      <c r="P29" s="70">
        <v>44696.908321759256</v>
      </c>
      <c r="Q29" s="68" t="s">
        <v>668</v>
      </c>
      <c r="R29" s="68"/>
      <c r="S29" s="68"/>
      <c r="T29" s="73" t="s">
        <v>713</v>
      </c>
      <c r="U29" s="72" t="str">
        <f>HYPERLINK("https://pbs.twimg.com/media/FS0sq1YaAAAqw4o.jpg")</f>
        <v>https://pbs.twimg.com/media/FS0sq1YaAAAqw4o.jpg</v>
      </c>
      <c r="V29" s="72" t="str">
        <f>HYPERLINK("https://pbs.twimg.com/media/FS0sq1YaAAAqw4o.jpg")</f>
        <v>https://pbs.twimg.com/media/FS0sq1YaAAAqw4o.jpg</v>
      </c>
      <c r="W29" s="70">
        <v>44696.908321759256</v>
      </c>
      <c r="X29" s="75">
        <v>44696</v>
      </c>
      <c r="Y29" s="73" t="s">
        <v>748</v>
      </c>
      <c r="Z29" s="72" t="str">
        <f>HYPERLINK("https://twitter.com/allantaunt/status/1525956182774382592")</f>
        <v>https://twitter.com/allantaunt/status/1525956182774382592</v>
      </c>
      <c r="AA29" s="68"/>
      <c r="AB29" s="68"/>
      <c r="AC29" s="73" t="s">
        <v>851</v>
      </c>
      <c r="AD29" s="68"/>
      <c r="AE29" s="68" t="b">
        <v>0</v>
      </c>
      <c r="AF29" s="68">
        <v>0</v>
      </c>
      <c r="AG29" s="73" t="s">
        <v>282</v>
      </c>
      <c r="AH29" s="68" t="b">
        <v>0</v>
      </c>
      <c r="AI29" s="68" t="s">
        <v>283</v>
      </c>
      <c r="AJ29" s="68"/>
      <c r="AK29" s="73" t="s">
        <v>282</v>
      </c>
      <c r="AL29" s="68" t="b">
        <v>0</v>
      </c>
      <c r="AM29" s="68">
        <v>3</v>
      </c>
      <c r="AN29" s="73" t="s">
        <v>891</v>
      </c>
      <c r="AO29" s="73" t="s">
        <v>284</v>
      </c>
      <c r="AP29" s="68" t="b">
        <v>0</v>
      </c>
      <c r="AQ29" s="73" t="s">
        <v>891</v>
      </c>
      <c r="AR29" s="68" t="s">
        <v>218</v>
      </c>
      <c r="AS29" s="68">
        <v>0</v>
      </c>
      <c r="AT29" s="68">
        <v>0</v>
      </c>
      <c r="AU29" s="68"/>
      <c r="AV29" s="68"/>
      <c r="AW29" s="68"/>
      <c r="AX29" s="68"/>
      <c r="AY29" s="68"/>
      <c r="AZ29" s="68"/>
      <c r="BA29" s="68"/>
      <c r="BB29" s="68"/>
      <c r="BC29" s="68">
        <v>1</v>
      </c>
      <c r="BD29" s="67" t="str">
        <f>REPLACE(INDEX(GroupVertices[Group],MATCH(Edges37[[#This Row],[Vertex 1]],GroupVertices[Vertex],0)),1,1,"")</f>
        <v>4</v>
      </c>
      <c r="BE29" s="67" t="str">
        <f>REPLACE(INDEX(GroupVertices[Group],MATCH(Edges37[[#This Row],[Vertex 2]],GroupVertices[Vertex],0)),1,1,"")</f>
        <v>4</v>
      </c>
      <c r="BF29" s="49"/>
      <c r="BG29" s="50"/>
      <c r="BH29" s="49"/>
      <c r="BI29" s="50"/>
      <c r="BJ29" s="49"/>
      <c r="BK29" s="50"/>
      <c r="BL29" s="49"/>
      <c r="BM29" s="50"/>
      <c r="BN29" s="49"/>
    </row>
    <row r="30" spans="1:66" ht="15">
      <c r="A30" s="66" t="s">
        <v>567</v>
      </c>
      <c r="B30" s="66" t="s">
        <v>570</v>
      </c>
      <c r="C30" s="84"/>
      <c r="D30" s="94"/>
      <c r="E30" s="84"/>
      <c r="F30" s="96"/>
      <c r="G30" s="84"/>
      <c r="H30" s="82"/>
      <c r="I30" s="97"/>
      <c r="J30" s="97"/>
      <c r="K30" s="35" t="s">
        <v>65</v>
      </c>
      <c r="L30" s="98">
        <v>39</v>
      </c>
      <c r="M30" s="98"/>
      <c r="N30" s="99"/>
      <c r="O30" s="68" t="s">
        <v>264</v>
      </c>
      <c r="P30" s="70">
        <v>44697.00236111111</v>
      </c>
      <c r="Q30" s="68" t="s">
        <v>669</v>
      </c>
      <c r="R30"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0" s="68" t="s">
        <v>269</v>
      </c>
      <c r="T30" s="73" t="s">
        <v>714</v>
      </c>
      <c r="U30" s="68"/>
      <c r="V30" s="72" t="str">
        <f>HYPERLINK("https://pbs.twimg.com/profile_images/968636394208878592/qqOUUqZ8_normal.jpg")</f>
        <v>https://pbs.twimg.com/profile_images/968636394208878592/qqOUUqZ8_normal.jpg</v>
      </c>
      <c r="W30" s="70">
        <v>44697.00236111111</v>
      </c>
      <c r="X30" s="75">
        <v>44697</v>
      </c>
      <c r="Y30" s="73" t="s">
        <v>749</v>
      </c>
      <c r="Z30" s="72" t="str">
        <f>HYPERLINK("https://twitter.com/newshubpolitics/status/1525990262207442944")</f>
        <v>https://twitter.com/newshubpolitics/status/1525990262207442944</v>
      </c>
      <c r="AA30" s="68"/>
      <c r="AB30" s="68"/>
      <c r="AC30" s="73" t="s">
        <v>852</v>
      </c>
      <c r="AD30" s="68"/>
      <c r="AE30" s="68" t="b">
        <v>0</v>
      </c>
      <c r="AF30" s="68">
        <v>0</v>
      </c>
      <c r="AG30" s="73" t="s">
        <v>282</v>
      </c>
      <c r="AH30" s="68" t="b">
        <v>0</v>
      </c>
      <c r="AI30" s="68" t="s">
        <v>283</v>
      </c>
      <c r="AJ30" s="68"/>
      <c r="AK30" s="73" t="s">
        <v>282</v>
      </c>
      <c r="AL30" s="68" t="b">
        <v>0</v>
      </c>
      <c r="AM30" s="68">
        <v>4</v>
      </c>
      <c r="AN30" s="73" t="s">
        <v>856</v>
      </c>
      <c r="AO30" s="73" t="s">
        <v>953</v>
      </c>
      <c r="AP30" s="68" t="b">
        <v>0</v>
      </c>
      <c r="AQ30" s="73" t="s">
        <v>856</v>
      </c>
      <c r="AR30" s="68" t="s">
        <v>218</v>
      </c>
      <c r="AS30" s="68">
        <v>0</v>
      </c>
      <c r="AT30" s="68">
        <v>0</v>
      </c>
      <c r="AU30" s="68"/>
      <c r="AV30" s="68"/>
      <c r="AW30" s="68"/>
      <c r="AX30" s="68"/>
      <c r="AY30" s="68"/>
      <c r="AZ30" s="68"/>
      <c r="BA30" s="68"/>
      <c r="BB30" s="68"/>
      <c r="BC30" s="68">
        <v>1</v>
      </c>
      <c r="BD30" s="67" t="str">
        <f>REPLACE(INDEX(GroupVertices[Group],MATCH(Edges37[[#This Row],[Vertex 1]],GroupVertices[Vertex],0)),1,1,"")</f>
        <v>6</v>
      </c>
      <c r="BE30" s="67" t="str">
        <f>REPLACE(INDEX(GroupVertices[Group],MATCH(Edges37[[#This Row],[Vertex 2]],GroupVertices[Vertex],0)),1,1,"")</f>
        <v>6</v>
      </c>
      <c r="BF30" s="49"/>
      <c r="BG30" s="50"/>
      <c r="BH30" s="49"/>
      <c r="BI30" s="50"/>
      <c r="BJ30" s="49"/>
      <c r="BK30" s="50"/>
      <c r="BL30" s="49"/>
      <c r="BM30" s="50"/>
      <c r="BN30" s="49"/>
    </row>
    <row r="31" spans="1:66" ht="15">
      <c r="A31" s="66" t="s">
        <v>567</v>
      </c>
      <c r="B31" s="66" t="s">
        <v>567</v>
      </c>
      <c r="C31" s="84"/>
      <c r="D31" s="94"/>
      <c r="E31" s="84"/>
      <c r="F31" s="96"/>
      <c r="G31" s="84"/>
      <c r="H31" s="82"/>
      <c r="I31" s="97"/>
      <c r="J31" s="97"/>
      <c r="K31" s="35" t="s">
        <v>65</v>
      </c>
      <c r="L31" s="98">
        <v>41</v>
      </c>
      <c r="M31" s="98"/>
      <c r="N31" s="99"/>
      <c r="O31" s="68" t="s">
        <v>218</v>
      </c>
      <c r="P31" s="70">
        <v>44697.00840277778</v>
      </c>
      <c r="Q31" s="68" t="s">
        <v>670</v>
      </c>
      <c r="R31"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31" s="68" t="s">
        <v>269</v>
      </c>
      <c r="T31" s="68"/>
      <c r="U31" s="68"/>
      <c r="V31" s="72" t="str">
        <f>HYPERLINK("https://pbs.twimg.com/profile_images/968636394208878592/qqOUUqZ8_normal.jpg")</f>
        <v>https://pbs.twimg.com/profile_images/968636394208878592/qqOUUqZ8_normal.jpg</v>
      </c>
      <c r="W31" s="70">
        <v>44697.00840277778</v>
      </c>
      <c r="X31" s="75">
        <v>44697</v>
      </c>
      <c r="Y31" s="73" t="s">
        <v>750</v>
      </c>
      <c r="Z31" s="72" t="str">
        <f>HYPERLINK("https://twitter.com/newshubpolitics/status/1525992452712083456")</f>
        <v>https://twitter.com/newshubpolitics/status/1525992452712083456</v>
      </c>
      <c r="AA31" s="68"/>
      <c r="AB31" s="68"/>
      <c r="AC31" s="73" t="s">
        <v>853</v>
      </c>
      <c r="AD31" s="68"/>
      <c r="AE31" s="68" t="b">
        <v>0</v>
      </c>
      <c r="AF31" s="68">
        <v>5</v>
      </c>
      <c r="AG31" s="73" t="s">
        <v>282</v>
      </c>
      <c r="AH31" s="68" t="b">
        <v>0</v>
      </c>
      <c r="AI31" s="68" t="s">
        <v>283</v>
      </c>
      <c r="AJ31" s="68"/>
      <c r="AK31" s="73" t="s">
        <v>282</v>
      </c>
      <c r="AL31" s="68" t="b">
        <v>0</v>
      </c>
      <c r="AM31" s="68">
        <v>1</v>
      </c>
      <c r="AN31" s="73" t="s">
        <v>282</v>
      </c>
      <c r="AO31" s="73" t="s">
        <v>949</v>
      </c>
      <c r="AP31" s="68" t="b">
        <v>0</v>
      </c>
      <c r="AQ31" s="73" t="s">
        <v>853</v>
      </c>
      <c r="AR31" s="68" t="s">
        <v>218</v>
      </c>
      <c r="AS31" s="68">
        <v>0</v>
      </c>
      <c r="AT31" s="68">
        <v>0</v>
      </c>
      <c r="AU31" s="68"/>
      <c r="AV31" s="68"/>
      <c r="AW31" s="68"/>
      <c r="AX31" s="68"/>
      <c r="AY31" s="68"/>
      <c r="AZ31" s="68"/>
      <c r="BA31" s="68"/>
      <c r="BB31" s="68"/>
      <c r="BC31" s="68">
        <v>1</v>
      </c>
      <c r="BD31" s="67" t="str">
        <f>REPLACE(INDEX(GroupVertices[Group],MATCH(Edges37[[#This Row],[Vertex 1]],GroupVertices[Vertex],0)),1,1,"")</f>
        <v>6</v>
      </c>
      <c r="BE31" s="67" t="str">
        <f>REPLACE(INDEX(GroupVertices[Group],MATCH(Edges37[[#This Row],[Vertex 2]],GroupVertices[Vertex],0)),1,1,"")</f>
        <v>6</v>
      </c>
      <c r="BF31" s="49">
        <v>1</v>
      </c>
      <c r="BG31" s="50">
        <v>6.666666666666667</v>
      </c>
      <c r="BH31" s="49">
        <v>0</v>
      </c>
      <c r="BI31" s="50">
        <v>0</v>
      </c>
      <c r="BJ31" s="49">
        <v>0</v>
      </c>
      <c r="BK31" s="50">
        <v>0</v>
      </c>
      <c r="BL31" s="49">
        <v>14</v>
      </c>
      <c r="BM31" s="50">
        <v>93.33333333333333</v>
      </c>
      <c r="BN31" s="49">
        <v>15</v>
      </c>
    </row>
    <row r="32" spans="1:66" ht="15">
      <c r="A32" s="66" t="s">
        <v>568</v>
      </c>
      <c r="B32" s="66" t="s">
        <v>567</v>
      </c>
      <c r="C32" s="84"/>
      <c r="D32" s="94"/>
      <c r="E32" s="84"/>
      <c r="F32" s="96"/>
      <c r="G32" s="84"/>
      <c r="H32" s="82"/>
      <c r="I32" s="97"/>
      <c r="J32" s="97"/>
      <c r="K32" s="35" t="s">
        <v>65</v>
      </c>
      <c r="L32" s="98">
        <v>42</v>
      </c>
      <c r="M32" s="98"/>
      <c r="N32" s="99"/>
      <c r="O32" s="68" t="s">
        <v>262</v>
      </c>
      <c r="P32" s="70">
        <v>44697.00907407407</v>
      </c>
      <c r="Q32" s="68" t="s">
        <v>670</v>
      </c>
      <c r="R32"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32" s="68" t="s">
        <v>269</v>
      </c>
      <c r="T32" s="68"/>
      <c r="U32" s="68"/>
      <c r="V32" s="72" t="str">
        <f>HYPERLINK("https://pbs.twimg.com/profile_images/1112640037278015489/NgrI1YcO_normal.png")</f>
        <v>https://pbs.twimg.com/profile_images/1112640037278015489/NgrI1YcO_normal.png</v>
      </c>
      <c r="W32" s="70">
        <v>44697.00907407407</v>
      </c>
      <c r="X32" s="75">
        <v>44697</v>
      </c>
      <c r="Y32" s="73" t="s">
        <v>751</v>
      </c>
      <c r="Z32" s="72" t="str">
        <f>HYPERLINK("https://twitter.com/newshubnz/status/1525992694610153473")</f>
        <v>https://twitter.com/newshubnz/status/1525992694610153473</v>
      </c>
      <c r="AA32" s="68"/>
      <c r="AB32" s="68"/>
      <c r="AC32" s="73" t="s">
        <v>854</v>
      </c>
      <c r="AD32" s="68"/>
      <c r="AE32" s="68" t="b">
        <v>0</v>
      </c>
      <c r="AF32" s="68">
        <v>0</v>
      </c>
      <c r="AG32" s="73" t="s">
        <v>282</v>
      </c>
      <c r="AH32" s="68" t="b">
        <v>0</v>
      </c>
      <c r="AI32" s="68" t="s">
        <v>283</v>
      </c>
      <c r="AJ32" s="68"/>
      <c r="AK32" s="73" t="s">
        <v>282</v>
      </c>
      <c r="AL32" s="68" t="b">
        <v>0</v>
      </c>
      <c r="AM32" s="68">
        <v>1</v>
      </c>
      <c r="AN32" s="73" t="s">
        <v>853</v>
      </c>
      <c r="AO32" s="73" t="s">
        <v>949</v>
      </c>
      <c r="AP32" s="68" t="b">
        <v>0</v>
      </c>
      <c r="AQ32" s="73" t="s">
        <v>853</v>
      </c>
      <c r="AR32" s="68" t="s">
        <v>218</v>
      </c>
      <c r="AS32" s="68">
        <v>0</v>
      </c>
      <c r="AT32" s="68">
        <v>0</v>
      </c>
      <c r="AU32" s="68"/>
      <c r="AV32" s="68"/>
      <c r="AW32" s="68"/>
      <c r="AX32" s="68"/>
      <c r="AY32" s="68"/>
      <c r="AZ32" s="68"/>
      <c r="BA32" s="68"/>
      <c r="BB32" s="68"/>
      <c r="BC32" s="68">
        <v>1</v>
      </c>
      <c r="BD32" s="67" t="str">
        <f>REPLACE(INDEX(GroupVertices[Group],MATCH(Edges37[[#This Row],[Vertex 1]],GroupVertices[Vertex],0)),1,1,"")</f>
        <v>6</v>
      </c>
      <c r="BE32" s="67" t="str">
        <f>REPLACE(INDEX(GroupVertices[Group],MATCH(Edges37[[#This Row],[Vertex 2]],GroupVertices[Vertex],0)),1,1,"")</f>
        <v>6</v>
      </c>
      <c r="BF32" s="49">
        <v>1</v>
      </c>
      <c r="BG32" s="50">
        <v>6.666666666666667</v>
      </c>
      <c r="BH32" s="49">
        <v>0</v>
      </c>
      <c r="BI32" s="50">
        <v>0</v>
      </c>
      <c r="BJ32" s="49">
        <v>0</v>
      </c>
      <c r="BK32" s="50">
        <v>0</v>
      </c>
      <c r="BL32" s="49">
        <v>14</v>
      </c>
      <c r="BM32" s="50">
        <v>93.33333333333333</v>
      </c>
      <c r="BN32" s="49">
        <v>15</v>
      </c>
    </row>
    <row r="33" spans="1:66" ht="15">
      <c r="A33" s="66" t="s">
        <v>568</v>
      </c>
      <c r="B33" s="66" t="s">
        <v>570</v>
      </c>
      <c r="C33" s="84"/>
      <c r="D33" s="94"/>
      <c r="E33" s="84"/>
      <c r="F33" s="96"/>
      <c r="G33" s="84"/>
      <c r="H33" s="82"/>
      <c r="I33" s="97"/>
      <c r="J33" s="97"/>
      <c r="K33" s="35" t="s">
        <v>65</v>
      </c>
      <c r="L33" s="98">
        <v>43</v>
      </c>
      <c r="M33" s="98"/>
      <c r="N33" s="99"/>
      <c r="O33" s="68" t="s">
        <v>264</v>
      </c>
      <c r="P33" s="70">
        <v>44697.00232638889</v>
      </c>
      <c r="Q33" s="68" t="s">
        <v>669</v>
      </c>
      <c r="R33"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3" s="68" t="s">
        <v>269</v>
      </c>
      <c r="T33" s="73" t="s">
        <v>714</v>
      </c>
      <c r="U33" s="68"/>
      <c r="V33" s="72" t="str">
        <f>HYPERLINK("https://pbs.twimg.com/profile_images/1112640037278015489/NgrI1YcO_normal.png")</f>
        <v>https://pbs.twimg.com/profile_images/1112640037278015489/NgrI1YcO_normal.png</v>
      </c>
      <c r="W33" s="70">
        <v>44697.00232638889</v>
      </c>
      <c r="X33" s="75">
        <v>44697</v>
      </c>
      <c r="Y33" s="73" t="s">
        <v>752</v>
      </c>
      <c r="Z33" s="72" t="str">
        <f>HYPERLINK("https://twitter.com/newshubnz/status/1525990247925919744")</f>
        <v>https://twitter.com/newshubnz/status/1525990247925919744</v>
      </c>
      <c r="AA33" s="68"/>
      <c r="AB33" s="68"/>
      <c r="AC33" s="73" t="s">
        <v>855</v>
      </c>
      <c r="AD33" s="68"/>
      <c r="AE33" s="68" t="b">
        <v>0</v>
      </c>
      <c r="AF33" s="68">
        <v>0</v>
      </c>
      <c r="AG33" s="73" t="s">
        <v>282</v>
      </c>
      <c r="AH33" s="68" t="b">
        <v>0</v>
      </c>
      <c r="AI33" s="68" t="s">
        <v>283</v>
      </c>
      <c r="AJ33" s="68"/>
      <c r="AK33" s="73" t="s">
        <v>282</v>
      </c>
      <c r="AL33" s="68" t="b">
        <v>0</v>
      </c>
      <c r="AM33" s="68">
        <v>4</v>
      </c>
      <c r="AN33" s="73" t="s">
        <v>856</v>
      </c>
      <c r="AO33" s="73" t="s">
        <v>953</v>
      </c>
      <c r="AP33" s="68" t="b">
        <v>0</v>
      </c>
      <c r="AQ33" s="73" t="s">
        <v>856</v>
      </c>
      <c r="AR33" s="68" t="s">
        <v>218</v>
      </c>
      <c r="AS33" s="68">
        <v>0</v>
      </c>
      <c r="AT33" s="68">
        <v>0</v>
      </c>
      <c r="AU33" s="68"/>
      <c r="AV33" s="68"/>
      <c r="AW33" s="68"/>
      <c r="AX33" s="68"/>
      <c r="AY33" s="68"/>
      <c r="AZ33" s="68"/>
      <c r="BA33" s="68"/>
      <c r="BB33" s="68"/>
      <c r="BC33" s="68">
        <v>1</v>
      </c>
      <c r="BD33" s="67" t="str">
        <f>REPLACE(INDEX(GroupVertices[Group],MATCH(Edges37[[#This Row],[Vertex 1]],GroupVertices[Vertex],0)),1,1,"")</f>
        <v>6</v>
      </c>
      <c r="BE33" s="67" t="str">
        <f>REPLACE(INDEX(GroupVertices[Group],MATCH(Edges37[[#This Row],[Vertex 2]],GroupVertices[Vertex],0)),1,1,"")</f>
        <v>6</v>
      </c>
      <c r="BF33" s="49"/>
      <c r="BG33" s="50"/>
      <c r="BH33" s="49"/>
      <c r="BI33" s="50"/>
      <c r="BJ33" s="49"/>
      <c r="BK33" s="50"/>
      <c r="BL33" s="49"/>
      <c r="BM33" s="50"/>
      <c r="BN33" s="49"/>
    </row>
    <row r="34" spans="1:66" ht="15">
      <c r="A34" s="66" t="s">
        <v>569</v>
      </c>
      <c r="B34" s="66" t="s">
        <v>570</v>
      </c>
      <c r="C34" s="84"/>
      <c r="D34" s="94"/>
      <c r="E34" s="84"/>
      <c r="F34" s="96"/>
      <c r="G34" s="84"/>
      <c r="H34" s="82"/>
      <c r="I34" s="97"/>
      <c r="J34" s="97"/>
      <c r="K34" s="35" t="s">
        <v>66</v>
      </c>
      <c r="L34" s="98">
        <v>45</v>
      </c>
      <c r="M34" s="98"/>
      <c r="N34" s="99"/>
      <c r="O34" s="68" t="s">
        <v>263</v>
      </c>
      <c r="P34" s="70">
        <v>44697.00226851852</v>
      </c>
      <c r="Q34" s="68" t="s">
        <v>669</v>
      </c>
      <c r="R34"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4" s="68" t="s">
        <v>269</v>
      </c>
      <c r="T34" s="73" t="s">
        <v>714</v>
      </c>
      <c r="U34" s="68"/>
      <c r="V34" s="72" t="str">
        <f>HYPERLINK("https://pbs.twimg.com/profile_images/969418395182555136/ssvz_qTA_normal.jpg")</f>
        <v>https://pbs.twimg.com/profile_images/969418395182555136/ssvz_qTA_normal.jpg</v>
      </c>
      <c r="W34" s="70">
        <v>44697.00226851852</v>
      </c>
      <c r="X34" s="75">
        <v>44697</v>
      </c>
      <c r="Y34" s="73" t="s">
        <v>753</v>
      </c>
      <c r="Z34" s="72" t="str">
        <f>HYPERLINK("https://twitter.com/newshubbreaking/status/1525990227004731393")</f>
        <v>https://twitter.com/newshubbreaking/status/1525990227004731393</v>
      </c>
      <c r="AA34" s="68"/>
      <c r="AB34" s="68"/>
      <c r="AC34" s="73" t="s">
        <v>856</v>
      </c>
      <c r="AD34" s="68"/>
      <c r="AE34" s="68" t="b">
        <v>0</v>
      </c>
      <c r="AF34" s="68">
        <v>8</v>
      </c>
      <c r="AG34" s="73" t="s">
        <v>282</v>
      </c>
      <c r="AH34" s="68" t="b">
        <v>0</v>
      </c>
      <c r="AI34" s="68" t="s">
        <v>283</v>
      </c>
      <c r="AJ34" s="68"/>
      <c r="AK34" s="73" t="s">
        <v>282</v>
      </c>
      <c r="AL34" s="68" t="b">
        <v>0</v>
      </c>
      <c r="AM34" s="68">
        <v>4</v>
      </c>
      <c r="AN34" s="73" t="s">
        <v>282</v>
      </c>
      <c r="AO34" s="73" t="s">
        <v>953</v>
      </c>
      <c r="AP34" s="68" t="b">
        <v>0</v>
      </c>
      <c r="AQ34" s="73" t="s">
        <v>856</v>
      </c>
      <c r="AR34" s="68" t="s">
        <v>218</v>
      </c>
      <c r="AS34" s="68">
        <v>0</v>
      </c>
      <c r="AT34" s="68">
        <v>0</v>
      </c>
      <c r="AU34" s="68"/>
      <c r="AV34" s="68"/>
      <c r="AW34" s="68"/>
      <c r="AX34" s="68"/>
      <c r="AY34" s="68"/>
      <c r="AZ34" s="68"/>
      <c r="BA34" s="68"/>
      <c r="BB34" s="68"/>
      <c r="BC34" s="68">
        <v>1</v>
      </c>
      <c r="BD34" s="67" t="str">
        <f>REPLACE(INDEX(GroupVertices[Group],MATCH(Edges37[[#This Row],[Vertex 1]],GroupVertices[Vertex],0)),1,1,"")</f>
        <v>6</v>
      </c>
      <c r="BE34" s="67" t="str">
        <f>REPLACE(INDEX(GroupVertices[Group],MATCH(Edges37[[#This Row],[Vertex 2]],GroupVertices[Vertex],0)),1,1,"")</f>
        <v>6</v>
      </c>
      <c r="BF34" s="49">
        <v>1</v>
      </c>
      <c r="BG34" s="50">
        <v>4.761904761904762</v>
      </c>
      <c r="BH34" s="49">
        <v>1</v>
      </c>
      <c r="BI34" s="50">
        <v>4.761904761904762</v>
      </c>
      <c r="BJ34" s="49">
        <v>0</v>
      </c>
      <c r="BK34" s="50">
        <v>0</v>
      </c>
      <c r="BL34" s="49">
        <v>19</v>
      </c>
      <c r="BM34" s="50">
        <v>90.47619047619048</v>
      </c>
      <c r="BN34" s="49">
        <v>21</v>
      </c>
    </row>
    <row r="35" spans="1:66" ht="15">
      <c r="A35" s="66" t="s">
        <v>570</v>
      </c>
      <c r="B35" s="66" t="s">
        <v>569</v>
      </c>
      <c r="C35" s="84"/>
      <c r="D35" s="94"/>
      <c r="E35" s="84"/>
      <c r="F35" s="96"/>
      <c r="G35" s="84"/>
      <c r="H35" s="82"/>
      <c r="I35" s="97"/>
      <c r="J35" s="97"/>
      <c r="K35" s="35" t="s">
        <v>66</v>
      </c>
      <c r="L35" s="98">
        <v>46</v>
      </c>
      <c r="M35" s="98"/>
      <c r="N35" s="99"/>
      <c r="O35" s="68" t="s">
        <v>262</v>
      </c>
      <c r="P35" s="70">
        <v>44697.00578703704</v>
      </c>
      <c r="Q35" s="68" t="s">
        <v>669</v>
      </c>
      <c r="R35"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5" s="68" t="s">
        <v>269</v>
      </c>
      <c r="T35" s="73" t="s">
        <v>714</v>
      </c>
      <c r="U35" s="68"/>
      <c r="V35" s="72" t="str">
        <f>HYPERLINK("https://pbs.twimg.com/profile_images/1404655697048981504/O71R3guV_normal.jpg")</f>
        <v>https://pbs.twimg.com/profile_images/1404655697048981504/O71R3guV_normal.jpg</v>
      </c>
      <c r="W35" s="70">
        <v>44697.00578703704</v>
      </c>
      <c r="X35" s="75">
        <v>44697</v>
      </c>
      <c r="Y35" s="73" t="s">
        <v>754</v>
      </c>
      <c r="Z35" s="72" t="str">
        <f>HYPERLINK("https://twitter.com/jamieensor/status/1525991502954250240")</f>
        <v>https://twitter.com/jamieensor/status/1525991502954250240</v>
      </c>
      <c r="AA35" s="68"/>
      <c r="AB35" s="68"/>
      <c r="AC35" s="73" t="s">
        <v>857</v>
      </c>
      <c r="AD35" s="68"/>
      <c r="AE35" s="68" t="b">
        <v>0</v>
      </c>
      <c r="AF35" s="68">
        <v>0</v>
      </c>
      <c r="AG35" s="73" t="s">
        <v>282</v>
      </c>
      <c r="AH35" s="68" t="b">
        <v>0</v>
      </c>
      <c r="AI35" s="68" t="s">
        <v>283</v>
      </c>
      <c r="AJ35" s="68"/>
      <c r="AK35" s="73" t="s">
        <v>282</v>
      </c>
      <c r="AL35" s="68" t="b">
        <v>0</v>
      </c>
      <c r="AM35" s="68">
        <v>4</v>
      </c>
      <c r="AN35" s="73" t="s">
        <v>856</v>
      </c>
      <c r="AO35" s="73" t="s">
        <v>284</v>
      </c>
      <c r="AP35" s="68" t="b">
        <v>0</v>
      </c>
      <c r="AQ35" s="73" t="s">
        <v>856</v>
      </c>
      <c r="AR35" s="68" t="s">
        <v>218</v>
      </c>
      <c r="AS35" s="68">
        <v>0</v>
      </c>
      <c r="AT35" s="68">
        <v>0</v>
      </c>
      <c r="AU35" s="68"/>
      <c r="AV35" s="68"/>
      <c r="AW35" s="68"/>
      <c r="AX35" s="68"/>
      <c r="AY35" s="68"/>
      <c r="AZ35" s="68"/>
      <c r="BA35" s="68"/>
      <c r="BB35" s="68"/>
      <c r="BC35" s="68">
        <v>1</v>
      </c>
      <c r="BD35" s="67" t="str">
        <f>REPLACE(INDEX(GroupVertices[Group],MATCH(Edges37[[#This Row],[Vertex 1]],GroupVertices[Vertex],0)),1,1,"")</f>
        <v>6</v>
      </c>
      <c r="BE35" s="67" t="str">
        <f>REPLACE(INDEX(GroupVertices[Group],MATCH(Edges37[[#This Row],[Vertex 2]],GroupVertices[Vertex],0)),1,1,"")</f>
        <v>6</v>
      </c>
      <c r="BF35" s="49">
        <v>1</v>
      </c>
      <c r="BG35" s="50">
        <v>4.761904761904762</v>
      </c>
      <c r="BH35" s="49">
        <v>1</v>
      </c>
      <c r="BI35" s="50">
        <v>4.761904761904762</v>
      </c>
      <c r="BJ35" s="49">
        <v>0</v>
      </c>
      <c r="BK35" s="50">
        <v>0</v>
      </c>
      <c r="BL35" s="49">
        <v>19</v>
      </c>
      <c r="BM35" s="50">
        <v>90.47619047619048</v>
      </c>
      <c r="BN35" s="49">
        <v>21</v>
      </c>
    </row>
    <row r="36" spans="1:66" ht="15">
      <c r="A36" s="66" t="s">
        <v>571</v>
      </c>
      <c r="B36" s="66" t="s">
        <v>570</v>
      </c>
      <c r="C36" s="84"/>
      <c r="D36" s="94"/>
      <c r="E36" s="84"/>
      <c r="F36" s="96"/>
      <c r="G36" s="84"/>
      <c r="H36" s="82"/>
      <c r="I36" s="97"/>
      <c r="J36" s="97"/>
      <c r="K36" s="35" t="s">
        <v>65</v>
      </c>
      <c r="L36" s="98">
        <v>47</v>
      </c>
      <c r="M36" s="98"/>
      <c r="N36" s="99"/>
      <c r="O36" s="68" t="s">
        <v>264</v>
      </c>
      <c r="P36" s="70">
        <v>44697.00908564815</v>
      </c>
      <c r="Q36" s="68" t="s">
        <v>669</v>
      </c>
      <c r="R36"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6" s="68" t="s">
        <v>269</v>
      </c>
      <c r="T36" s="73" t="s">
        <v>714</v>
      </c>
      <c r="U36" s="68"/>
      <c r="V36" s="72" t="str">
        <f>HYPERLINK("https://pbs.twimg.com/profile_images/1323418755829886976/B1Xeq0XK_normal.jpg")</f>
        <v>https://pbs.twimg.com/profile_images/1323418755829886976/B1Xeq0XK_normal.jpg</v>
      </c>
      <c r="W36" s="70">
        <v>44697.00908564815</v>
      </c>
      <c r="X36" s="75">
        <v>44697</v>
      </c>
      <c r="Y36" s="73" t="s">
        <v>755</v>
      </c>
      <c r="Z36" s="72" t="str">
        <f>HYPERLINK("https://twitter.com/nichols_lindy/status/1525992700360929280")</f>
        <v>https://twitter.com/nichols_lindy/status/1525992700360929280</v>
      </c>
      <c r="AA36" s="68"/>
      <c r="AB36" s="68"/>
      <c r="AC36" s="73" t="s">
        <v>858</v>
      </c>
      <c r="AD36" s="68"/>
      <c r="AE36" s="68" t="b">
        <v>0</v>
      </c>
      <c r="AF36" s="68">
        <v>0</v>
      </c>
      <c r="AG36" s="73" t="s">
        <v>282</v>
      </c>
      <c r="AH36" s="68" t="b">
        <v>0</v>
      </c>
      <c r="AI36" s="68" t="s">
        <v>283</v>
      </c>
      <c r="AJ36" s="68"/>
      <c r="AK36" s="73" t="s">
        <v>282</v>
      </c>
      <c r="AL36" s="68" t="b">
        <v>0</v>
      </c>
      <c r="AM36" s="68">
        <v>4</v>
      </c>
      <c r="AN36" s="73" t="s">
        <v>856</v>
      </c>
      <c r="AO36" s="73" t="s">
        <v>285</v>
      </c>
      <c r="AP36" s="68" t="b">
        <v>0</v>
      </c>
      <c r="AQ36" s="73" t="s">
        <v>856</v>
      </c>
      <c r="AR36" s="68" t="s">
        <v>218</v>
      </c>
      <c r="AS36" s="68">
        <v>0</v>
      </c>
      <c r="AT36" s="68">
        <v>0</v>
      </c>
      <c r="AU36" s="68"/>
      <c r="AV36" s="68"/>
      <c r="AW36" s="68"/>
      <c r="AX36" s="68"/>
      <c r="AY36" s="68"/>
      <c r="AZ36" s="68"/>
      <c r="BA36" s="68"/>
      <c r="BB36" s="68"/>
      <c r="BC36" s="68">
        <v>1</v>
      </c>
      <c r="BD36" s="67" t="str">
        <f>REPLACE(INDEX(GroupVertices[Group],MATCH(Edges37[[#This Row],[Vertex 1]],GroupVertices[Vertex],0)),1,1,"")</f>
        <v>6</v>
      </c>
      <c r="BE36" s="67" t="str">
        <f>REPLACE(INDEX(GroupVertices[Group],MATCH(Edges37[[#This Row],[Vertex 2]],GroupVertices[Vertex],0)),1,1,"")</f>
        <v>6</v>
      </c>
      <c r="BF36" s="49"/>
      <c r="BG36" s="50"/>
      <c r="BH36" s="49"/>
      <c r="BI36" s="50"/>
      <c r="BJ36" s="49"/>
      <c r="BK36" s="50"/>
      <c r="BL36" s="49"/>
      <c r="BM36" s="50"/>
      <c r="BN36" s="49"/>
    </row>
    <row r="37" spans="1:66" ht="15">
      <c r="A37" s="66" t="s">
        <v>572</v>
      </c>
      <c r="B37" s="66" t="s">
        <v>629</v>
      </c>
      <c r="C37" s="84"/>
      <c r="D37" s="94"/>
      <c r="E37" s="84"/>
      <c r="F37" s="96"/>
      <c r="G37" s="84"/>
      <c r="H37" s="82"/>
      <c r="I37" s="97"/>
      <c r="J37" s="97"/>
      <c r="K37" s="35" t="s">
        <v>65</v>
      </c>
      <c r="L37" s="98">
        <v>49</v>
      </c>
      <c r="M37" s="98"/>
      <c r="N37" s="99"/>
      <c r="O37" s="68" t="s">
        <v>262</v>
      </c>
      <c r="P37" s="70">
        <v>44697.02453703704</v>
      </c>
      <c r="Q37" s="68" t="s">
        <v>671</v>
      </c>
      <c r="R37" s="68"/>
      <c r="S37" s="68"/>
      <c r="T37" s="68"/>
      <c r="U37" s="68"/>
      <c r="V37" s="72" t="str">
        <f>HYPERLINK("https://pbs.twimg.com/profile_images/1260365561910812672/BIg_dVBW_normal.jpg")</f>
        <v>https://pbs.twimg.com/profile_images/1260365561910812672/BIg_dVBW_normal.jpg</v>
      </c>
      <c r="W37" s="70">
        <v>44697.02453703704</v>
      </c>
      <c r="X37" s="75">
        <v>44697</v>
      </c>
      <c r="Y37" s="73" t="s">
        <v>756</v>
      </c>
      <c r="Z37" s="72" t="str">
        <f>HYPERLINK("https://twitter.com/nzgreens/status/1525998297747718144")</f>
        <v>https://twitter.com/nzgreens/status/1525998297747718144</v>
      </c>
      <c r="AA37" s="68"/>
      <c r="AB37" s="68"/>
      <c r="AC37" s="73" t="s">
        <v>859</v>
      </c>
      <c r="AD37" s="68"/>
      <c r="AE37" s="68" t="b">
        <v>0</v>
      </c>
      <c r="AF37" s="68">
        <v>0</v>
      </c>
      <c r="AG37" s="73" t="s">
        <v>282</v>
      </c>
      <c r="AH37" s="68" t="b">
        <v>0</v>
      </c>
      <c r="AI37" s="68" t="s">
        <v>283</v>
      </c>
      <c r="AJ37" s="68"/>
      <c r="AK37" s="73" t="s">
        <v>282</v>
      </c>
      <c r="AL37" s="68" t="b">
        <v>0</v>
      </c>
      <c r="AM37" s="68">
        <v>11</v>
      </c>
      <c r="AN37" s="73" t="s">
        <v>919</v>
      </c>
      <c r="AO37" s="73" t="s">
        <v>284</v>
      </c>
      <c r="AP37" s="68" t="b">
        <v>0</v>
      </c>
      <c r="AQ37" s="73" t="s">
        <v>919</v>
      </c>
      <c r="AR37" s="68" t="s">
        <v>218</v>
      </c>
      <c r="AS37" s="68">
        <v>0</v>
      </c>
      <c r="AT37" s="68">
        <v>0</v>
      </c>
      <c r="AU37" s="68"/>
      <c r="AV37" s="68"/>
      <c r="AW37" s="68"/>
      <c r="AX37" s="68"/>
      <c r="AY37" s="68"/>
      <c r="AZ37" s="68"/>
      <c r="BA37" s="68"/>
      <c r="BB37" s="68"/>
      <c r="BC37" s="68">
        <v>1</v>
      </c>
      <c r="BD37" s="67" t="str">
        <f>REPLACE(INDEX(GroupVertices[Group],MATCH(Edges37[[#This Row],[Vertex 1]],GroupVertices[Vertex],0)),1,1,"")</f>
        <v>1</v>
      </c>
      <c r="BE37" s="67" t="str">
        <f>REPLACE(INDEX(GroupVertices[Group],MATCH(Edges37[[#This Row],[Vertex 2]],GroupVertices[Vertex],0)),1,1,"")</f>
        <v>1</v>
      </c>
      <c r="BF37" s="49">
        <v>1</v>
      </c>
      <c r="BG37" s="50">
        <v>2.272727272727273</v>
      </c>
      <c r="BH37" s="49">
        <v>0</v>
      </c>
      <c r="BI37" s="50">
        <v>0</v>
      </c>
      <c r="BJ37" s="49">
        <v>0</v>
      </c>
      <c r="BK37" s="50">
        <v>0</v>
      </c>
      <c r="BL37" s="49">
        <v>43</v>
      </c>
      <c r="BM37" s="50">
        <v>97.72727272727273</v>
      </c>
      <c r="BN37" s="49">
        <v>44</v>
      </c>
    </row>
    <row r="38" spans="1:66" ht="15">
      <c r="A38" s="66" t="s">
        <v>573</v>
      </c>
      <c r="B38" s="66" t="s">
        <v>629</v>
      </c>
      <c r="C38" s="84"/>
      <c r="D38" s="94"/>
      <c r="E38" s="84"/>
      <c r="F38" s="96"/>
      <c r="G38" s="84"/>
      <c r="H38" s="82"/>
      <c r="I38" s="97"/>
      <c r="J38" s="97"/>
      <c r="K38" s="35" t="s">
        <v>65</v>
      </c>
      <c r="L38" s="98">
        <v>50</v>
      </c>
      <c r="M38" s="98"/>
      <c r="N38" s="99"/>
      <c r="O38" s="68" t="s">
        <v>262</v>
      </c>
      <c r="P38" s="70">
        <v>44697.02457175926</v>
      </c>
      <c r="Q38" s="68" t="s">
        <v>671</v>
      </c>
      <c r="R38" s="68"/>
      <c r="S38" s="68"/>
      <c r="T38" s="68"/>
      <c r="U38" s="68"/>
      <c r="V38" s="72" t="str">
        <f>HYPERLINK("https://pbs.twimg.com/profile_images/1523187870848090112/CTQh35SM_normal.jpg")</f>
        <v>https://pbs.twimg.com/profile_images/1523187870848090112/CTQh35SM_normal.jpg</v>
      </c>
      <c r="W38" s="70">
        <v>44697.02457175926</v>
      </c>
      <c r="X38" s="75">
        <v>44697</v>
      </c>
      <c r="Y38" s="73" t="s">
        <v>757</v>
      </c>
      <c r="Z38" s="72" t="str">
        <f>HYPERLINK("https://twitter.com/pearlwendyl/status/1525998308589613057")</f>
        <v>https://twitter.com/pearlwendyl/status/1525998308589613057</v>
      </c>
      <c r="AA38" s="68"/>
      <c r="AB38" s="68"/>
      <c r="AC38" s="73" t="s">
        <v>860</v>
      </c>
      <c r="AD38" s="68"/>
      <c r="AE38" s="68" t="b">
        <v>0</v>
      </c>
      <c r="AF38" s="68">
        <v>0</v>
      </c>
      <c r="AG38" s="73" t="s">
        <v>282</v>
      </c>
      <c r="AH38" s="68" t="b">
        <v>0</v>
      </c>
      <c r="AI38" s="68" t="s">
        <v>283</v>
      </c>
      <c r="AJ38" s="68"/>
      <c r="AK38" s="73" t="s">
        <v>282</v>
      </c>
      <c r="AL38" s="68" t="b">
        <v>0</v>
      </c>
      <c r="AM38" s="68">
        <v>11</v>
      </c>
      <c r="AN38" s="73" t="s">
        <v>919</v>
      </c>
      <c r="AO38" s="73" t="s">
        <v>284</v>
      </c>
      <c r="AP38" s="68" t="b">
        <v>0</v>
      </c>
      <c r="AQ38" s="73" t="s">
        <v>919</v>
      </c>
      <c r="AR38" s="68" t="s">
        <v>218</v>
      </c>
      <c r="AS38" s="68">
        <v>0</v>
      </c>
      <c r="AT38" s="68">
        <v>0</v>
      </c>
      <c r="AU38" s="68"/>
      <c r="AV38" s="68"/>
      <c r="AW38" s="68"/>
      <c r="AX38" s="68"/>
      <c r="AY38" s="68"/>
      <c r="AZ38" s="68"/>
      <c r="BA38" s="68"/>
      <c r="BB38" s="68"/>
      <c r="BC38" s="68">
        <v>1</v>
      </c>
      <c r="BD38" s="67" t="str">
        <f>REPLACE(INDEX(GroupVertices[Group],MATCH(Edges37[[#This Row],[Vertex 1]],GroupVertices[Vertex],0)),1,1,"")</f>
        <v>1</v>
      </c>
      <c r="BE38" s="67" t="str">
        <f>REPLACE(INDEX(GroupVertices[Group],MATCH(Edges37[[#This Row],[Vertex 2]],GroupVertices[Vertex],0)),1,1,"")</f>
        <v>1</v>
      </c>
      <c r="BF38" s="49">
        <v>1</v>
      </c>
      <c r="BG38" s="50">
        <v>2.272727272727273</v>
      </c>
      <c r="BH38" s="49">
        <v>0</v>
      </c>
      <c r="BI38" s="50">
        <v>0</v>
      </c>
      <c r="BJ38" s="49">
        <v>0</v>
      </c>
      <c r="BK38" s="50">
        <v>0</v>
      </c>
      <c r="BL38" s="49">
        <v>43</v>
      </c>
      <c r="BM38" s="50">
        <v>97.72727272727273</v>
      </c>
      <c r="BN38" s="49">
        <v>44</v>
      </c>
    </row>
    <row r="39" spans="1:66" ht="15">
      <c r="A39" s="66" t="s">
        <v>574</v>
      </c>
      <c r="B39" s="66" t="s">
        <v>629</v>
      </c>
      <c r="C39" s="84"/>
      <c r="D39" s="94"/>
      <c r="E39" s="84"/>
      <c r="F39" s="96"/>
      <c r="G39" s="84"/>
      <c r="H39" s="82"/>
      <c r="I39" s="97"/>
      <c r="J39" s="97"/>
      <c r="K39" s="35" t="s">
        <v>65</v>
      </c>
      <c r="L39" s="98">
        <v>51</v>
      </c>
      <c r="M39" s="98"/>
      <c r="N39" s="99"/>
      <c r="O39" s="68" t="s">
        <v>262</v>
      </c>
      <c r="P39" s="70">
        <v>44697.024976851855</v>
      </c>
      <c r="Q39" s="68" t="s">
        <v>671</v>
      </c>
      <c r="R39" s="68"/>
      <c r="S39" s="68"/>
      <c r="T39" s="68"/>
      <c r="U39" s="68"/>
      <c r="V39" s="72" t="str">
        <f>HYPERLINK("https://pbs.twimg.com/profile_images/1455124671066611716/bvFYhuO-_normal.jpg")</f>
        <v>https://pbs.twimg.com/profile_images/1455124671066611716/bvFYhuO-_normal.jpg</v>
      </c>
      <c r="W39" s="70">
        <v>44697.024976851855</v>
      </c>
      <c r="X39" s="75">
        <v>44697</v>
      </c>
      <c r="Y39" s="73" t="s">
        <v>758</v>
      </c>
      <c r="Z39" s="72" t="str">
        <f>HYPERLINK("https://twitter.com/alisondesu/status/1525998457885904896")</f>
        <v>https://twitter.com/alisondesu/status/1525998457885904896</v>
      </c>
      <c r="AA39" s="68"/>
      <c r="AB39" s="68"/>
      <c r="AC39" s="73" t="s">
        <v>861</v>
      </c>
      <c r="AD39" s="68"/>
      <c r="AE39" s="68" t="b">
        <v>0</v>
      </c>
      <c r="AF39" s="68">
        <v>0</v>
      </c>
      <c r="AG39" s="73" t="s">
        <v>282</v>
      </c>
      <c r="AH39" s="68" t="b">
        <v>0</v>
      </c>
      <c r="AI39" s="68" t="s">
        <v>283</v>
      </c>
      <c r="AJ39" s="68"/>
      <c r="AK39" s="73" t="s">
        <v>282</v>
      </c>
      <c r="AL39" s="68" t="b">
        <v>0</v>
      </c>
      <c r="AM39" s="68">
        <v>11</v>
      </c>
      <c r="AN39" s="73" t="s">
        <v>919</v>
      </c>
      <c r="AO39" s="73" t="s">
        <v>285</v>
      </c>
      <c r="AP39" s="68" t="b">
        <v>0</v>
      </c>
      <c r="AQ39" s="73" t="s">
        <v>919</v>
      </c>
      <c r="AR39" s="68" t="s">
        <v>218</v>
      </c>
      <c r="AS39" s="68">
        <v>0</v>
      </c>
      <c r="AT39" s="68">
        <v>0</v>
      </c>
      <c r="AU39" s="68"/>
      <c r="AV39" s="68"/>
      <c r="AW39" s="68"/>
      <c r="AX39" s="68"/>
      <c r="AY39" s="68"/>
      <c r="AZ39" s="68"/>
      <c r="BA39" s="68"/>
      <c r="BB39" s="68"/>
      <c r="BC39" s="68">
        <v>1</v>
      </c>
      <c r="BD39" s="67" t="str">
        <f>REPLACE(INDEX(GroupVertices[Group],MATCH(Edges37[[#This Row],[Vertex 1]],GroupVertices[Vertex],0)),1,1,"")</f>
        <v>1</v>
      </c>
      <c r="BE39" s="67" t="str">
        <f>REPLACE(INDEX(GroupVertices[Group],MATCH(Edges37[[#This Row],[Vertex 2]],GroupVertices[Vertex],0)),1,1,"")</f>
        <v>1</v>
      </c>
      <c r="BF39" s="49">
        <v>1</v>
      </c>
      <c r="BG39" s="50">
        <v>2.272727272727273</v>
      </c>
      <c r="BH39" s="49">
        <v>0</v>
      </c>
      <c r="BI39" s="50">
        <v>0</v>
      </c>
      <c r="BJ39" s="49">
        <v>0</v>
      </c>
      <c r="BK39" s="50">
        <v>0</v>
      </c>
      <c r="BL39" s="49">
        <v>43</v>
      </c>
      <c r="BM39" s="50">
        <v>97.72727272727273</v>
      </c>
      <c r="BN39" s="49">
        <v>44</v>
      </c>
    </row>
    <row r="40" spans="1:66" ht="15">
      <c r="A40" s="66" t="s">
        <v>575</v>
      </c>
      <c r="B40" s="66" t="s">
        <v>629</v>
      </c>
      <c r="C40" s="84"/>
      <c r="D40" s="94"/>
      <c r="E40" s="84"/>
      <c r="F40" s="96"/>
      <c r="G40" s="84"/>
      <c r="H40" s="82"/>
      <c r="I40" s="97"/>
      <c r="J40" s="97"/>
      <c r="K40" s="35" t="s">
        <v>65</v>
      </c>
      <c r="L40" s="98">
        <v>52</v>
      </c>
      <c r="M40" s="98"/>
      <c r="N40" s="99"/>
      <c r="O40" s="68" t="s">
        <v>262</v>
      </c>
      <c r="P40" s="70">
        <v>44697.02527777778</v>
      </c>
      <c r="Q40" s="68" t="s">
        <v>671</v>
      </c>
      <c r="R40" s="68"/>
      <c r="S40" s="68"/>
      <c r="T40" s="68"/>
      <c r="U40" s="68"/>
      <c r="V40" s="72" t="str">
        <f>HYPERLINK("https://pbs.twimg.com/profile_images/1495303152530489344/FM5MocrY_normal.jpg")</f>
        <v>https://pbs.twimg.com/profile_images/1495303152530489344/FM5MocrY_normal.jpg</v>
      </c>
      <c r="W40" s="70">
        <v>44697.02527777778</v>
      </c>
      <c r="X40" s="75">
        <v>44697</v>
      </c>
      <c r="Y40" s="73" t="s">
        <v>759</v>
      </c>
      <c r="Z40" s="72" t="str">
        <f>HYPERLINK("https://twitter.com/napierinframe/status/1525998565830430721")</f>
        <v>https://twitter.com/napierinframe/status/1525998565830430721</v>
      </c>
      <c r="AA40" s="68"/>
      <c r="AB40" s="68"/>
      <c r="AC40" s="73" t="s">
        <v>862</v>
      </c>
      <c r="AD40" s="68"/>
      <c r="AE40" s="68" t="b">
        <v>0</v>
      </c>
      <c r="AF40" s="68">
        <v>0</v>
      </c>
      <c r="AG40" s="73" t="s">
        <v>282</v>
      </c>
      <c r="AH40" s="68" t="b">
        <v>0</v>
      </c>
      <c r="AI40" s="68" t="s">
        <v>283</v>
      </c>
      <c r="AJ40" s="68"/>
      <c r="AK40" s="73" t="s">
        <v>282</v>
      </c>
      <c r="AL40" s="68" t="b">
        <v>0</v>
      </c>
      <c r="AM40" s="68">
        <v>11</v>
      </c>
      <c r="AN40" s="73" t="s">
        <v>919</v>
      </c>
      <c r="AO40" s="73" t="s">
        <v>285</v>
      </c>
      <c r="AP40" s="68" t="b">
        <v>0</v>
      </c>
      <c r="AQ40" s="73" t="s">
        <v>919</v>
      </c>
      <c r="AR40" s="68" t="s">
        <v>218</v>
      </c>
      <c r="AS40" s="68">
        <v>0</v>
      </c>
      <c r="AT40" s="68">
        <v>0</v>
      </c>
      <c r="AU40" s="68"/>
      <c r="AV40" s="68"/>
      <c r="AW40" s="68"/>
      <c r="AX40" s="68"/>
      <c r="AY40" s="68"/>
      <c r="AZ40" s="68"/>
      <c r="BA40" s="68"/>
      <c r="BB40" s="68"/>
      <c r="BC40" s="68">
        <v>1</v>
      </c>
      <c r="BD40" s="67" t="str">
        <f>REPLACE(INDEX(GroupVertices[Group],MATCH(Edges37[[#This Row],[Vertex 1]],GroupVertices[Vertex],0)),1,1,"")</f>
        <v>1</v>
      </c>
      <c r="BE40" s="67" t="str">
        <f>REPLACE(INDEX(GroupVertices[Group],MATCH(Edges37[[#This Row],[Vertex 2]],GroupVertices[Vertex],0)),1,1,"")</f>
        <v>1</v>
      </c>
      <c r="BF40" s="49">
        <v>1</v>
      </c>
      <c r="BG40" s="50">
        <v>2.272727272727273</v>
      </c>
      <c r="BH40" s="49">
        <v>0</v>
      </c>
      <c r="BI40" s="50">
        <v>0</v>
      </c>
      <c r="BJ40" s="49">
        <v>0</v>
      </c>
      <c r="BK40" s="50">
        <v>0</v>
      </c>
      <c r="BL40" s="49">
        <v>43</v>
      </c>
      <c r="BM40" s="50">
        <v>97.72727272727273</v>
      </c>
      <c r="BN40" s="49">
        <v>44</v>
      </c>
    </row>
    <row r="41" spans="1:66" ht="15">
      <c r="A41" s="66" t="s">
        <v>576</v>
      </c>
      <c r="B41" s="66" t="s">
        <v>629</v>
      </c>
      <c r="C41" s="84"/>
      <c r="D41" s="94"/>
      <c r="E41" s="84"/>
      <c r="F41" s="96"/>
      <c r="G41" s="84"/>
      <c r="H41" s="82"/>
      <c r="I41" s="97"/>
      <c r="J41" s="97"/>
      <c r="K41" s="35" t="s">
        <v>65</v>
      </c>
      <c r="L41" s="98">
        <v>53</v>
      </c>
      <c r="M41" s="98"/>
      <c r="N41" s="99"/>
      <c r="O41" s="68" t="s">
        <v>262</v>
      </c>
      <c r="P41" s="70">
        <v>44697.04759259259</v>
      </c>
      <c r="Q41" s="68" t="s">
        <v>671</v>
      </c>
      <c r="R41" s="68"/>
      <c r="S41" s="68"/>
      <c r="T41" s="68"/>
      <c r="U41" s="68"/>
      <c r="V41" s="72" t="str">
        <f>HYPERLINK("https://pbs.twimg.com/profile_images/1382826449627860996/xiuIVyrR_normal.jpg")</f>
        <v>https://pbs.twimg.com/profile_images/1382826449627860996/xiuIVyrR_normal.jpg</v>
      </c>
      <c r="W41" s="70">
        <v>44697.04759259259</v>
      </c>
      <c r="X41" s="75">
        <v>44697</v>
      </c>
      <c r="Y41" s="73" t="s">
        <v>760</v>
      </c>
      <c r="Z41" s="72" t="str">
        <f>HYPERLINK("https://twitter.com/eugeniesage/status/1526006651773657088")</f>
        <v>https://twitter.com/eugeniesage/status/1526006651773657088</v>
      </c>
      <c r="AA41" s="68"/>
      <c r="AB41" s="68"/>
      <c r="AC41" s="73" t="s">
        <v>863</v>
      </c>
      <c r="AD41" s="68"/>
      <c r="AE41" s="68" t="b">
        <v>0</v>
      </c>
      <c r="AF41" s="68">
        <v>0</v>
      </c>
      <c r="AG41" s="73" t="s">
        <v>282</v>
      </c>
      <c r="AH41" s="68" t="b">
        <v>0</v>
      </c>
      <c r="AI41" s="68" t="s">
        <v>283</v>
      </c>
      <c r="AJ41" s="68"/>
      <c r="AK41" s="73" t="s">
        <v>282</v>
      </c>
      <c r="AL41" s="68" t="b">
        <v>0</v>
      </c>
      <c r="AM41" s="68">
        <v>11</v>
      </c>
      <c r="AN41" s="73" t="s">
        <v>919</v>
      </c>
      <c r="AO41" s="73" t="s">
        <v>284</v>
      </c>
      <c r="AP41" s="68" t="b">
        <v>0</v>
      </c>
      <c r="AQ41" s="73" t="s">
        <v>919</v>
      </c>
      <c r="AR41" s="68" t="s">
        <v>218</v>
      </c>
      <c r="AS41" s="68">
        <v>0</v>
      </c>
      <c r="AT41" s="68">
        <v>0</v>
      </c>
      <c r="AU41" s="68"/>
      <c r="AV41" s="68"/>
      <c r="AW41" s="68"/>
      <c r="AX41" s="68"/>
      <c r="AY41" s="68"/>
      <c r="AZ41" s="68"/>
      <c r="BA41" s="68"/>
      <c r="BB41" s="68"/>
      <c r="BC41" s="68">
        <v>1</v>
      </c>
      <c r="BD41" s="67" t="str">
        <f>REPLACE(INDEX(GroupVertices[Group],MATCH(Edges37[[#This Row],[Vertex 1]],GroupVertices[Vertex],0)),1,1,"")</f>
        <v>1</v>
      </c>
      <c r="BE41" s="67" t="str">
        <f>REPLACE(INDEX(GroupVertices[Group],MATCH(Edges37[[#This Row],[Vertex 2]],GroupVertices[Vertex],0)),1,1,"")</f>
        <v>1</v>
      </c>
      <c r="BF41" s="49">
        <v>1</v>
      </c>
      <c r="BG41" s="50">
        <v>2.272727272727273</v>
      </c>
      <c r="BH41" s="49">
        <v>0</v>
      </c>
      <c r="BI41" s="50">
        <v>0</v>
      </c>
      <c r="BJ41" s="49">
        <v>0</v>
      </c>
      <c r="BK41" s="50">
        <v>0</v>
      </c>
      <c r="BL41" s="49">
        <v>43</v>
      </c>
      <c r="BM41" s="50">
        <v>97.72727272727273</v>
      </c>
      <c r="BN41" s="49">
        <v>44</v>
      </c>
    </row>
    <row r="42" spans="1:66" ht="15">
      <c r="A42" s="66" t="s">
        <v>577</v>
      </c>
      <c r="B42" s="66" t="s">
        <v>629</v>
      </c>
      <c r="C42" s="84"/>
      <c r="D42" s="94"/>
      <c r="E42" s="84"/>
      <c r="F42" s="96"/>
      <c r="G42" s="84"/>
      <c r="H42" s="82"/>
      <c r="I42" s="97"/>
      <c r="J42" s="97"/>
      <c r="K42" s="35" t="s">
        <v>65</v>
      </c>
      <c r="L42" s="98">
        <v>54</v>
      </c>
      <c r="M42" s="98"/>
      <c r="N42" s="99"/>
      <c r="O42" s="68" t="s">
        <v>262</v>
      </c>
      <c r="P42" s="70">
        <v>44697.07130787037</v>
      </c>
      <c r="Q42" s="68" t="s">
        <v>672</v>
      </c>
      <c r="R42" s="68"/>
      <c r="S42" s="68"/>
      <c r="T42" s="68"/>
      <c r="U42" s="68"/>
      <c r="V42" s="72" t="str">
        <f>HYPERLINK("https://pbs.twimg.com/profile_images/1483993090163888130/KhvaPeoa_normal.jpg")</f>
        <v>https://pbs.twimg.com/profile_images/1483993090163888130/KhvaPeoa_normal.jpg</v>
      </c>
      <c r="W42" s="70">
        <v>44697.07130787037</v>
      </c>
      <c r="X42" s="75">
        <v>44697</v>
      </c>
      <c r="Y42" s="73" t="s">
        <v>761</v>
      </c>
      <c r="Z42" s="72" t="str">
        <f>HYPERLINK("https://twitter.com/essigna/status/1526015248591114240")</f>
        <v>https://twitter.com/essigna/status/1526015248591114240</v>
      </c>
      <c r="AA42" s="68"/>
      <c r="AB42" s="68"/>
      <c r="AC42" s="73" t="s">
        <v>864</v>
      </c>
      <c r="AD42" s="68"/>
      <c r="AE42" s="68" t="b">
        <v>0</v>
      </c>
      <c r="AF42" s="68">
        <v>0</v>
      </c>
      <c r="AG42" s="73" t="s">
        <v>282</v>
      </c>
      <c r="AH42" s="68" t="b">
        <v>0</v>
      </c>
      <c r="AI42" s="68" t="s">
        <v>283</v>
      </c>
      <c r="AJ42" s="68"/>
      <c r="AK42" s="73" t="s">
        <v>282</v>
      </c>
      <c r="AL42" s="68" t="b">
        <v>0</v>
      </c>
      <c r="AM42" s="68">
        <v>13</v>
      </c>
      <c r="AN42" s="73" t="s">
        <v>920</v>
      </c>
      <c r="AO42" s="73" t="s">
        <v>284</v>
      </c>
      <c r="AP42" s="68" t="b">
        <v>0</v>
      </c>
      <c r="AQ42" s="73" t="s">
        <v>920</v>
      </c>
      <c r="AR42" s="68" t="s">
        <v>218</v>
      </c>
      <c r="AS42" s="68">
        <v>0</v>
      </c>
      <c r="AT42" s="68">
        <v>0</v>
      </c>
      <c r="AU42" s="68"/>
      <c r="AV42" s="68"/>
      <c r="AW42" s="68"/>
      <c r="AX42" s="68"/>
      <c r="AY42" s="68"/>
      <c r="AZ42" s="68"/>
      <c r="BA42" s="68"/>
      <c r="BB42" s="68"/>
      <c r="BC42" s="68">
        <v>1</v>
      </c>
      <c r="BD42" s="67" t="str">
        <f>REPLACE(INDEX(GroupVertices[Group],MATCH(Edges37[[#This Row],[Vertex 1]],GroupVertices[Vertex],0)),1,1,"")</f>
        <v>1</v>
      </c>
      <c r="BE42" s="67" t="str">
        <f>REPLACE(INDEX(GroupVertices[Group],MATCH(Edges37[[#This Row],[Vertex 2]],GroupVertices[Vertex],0)),1,1,"")</f>
        <v>1</v>
      </c>
      <c r="BF42" s="49">
        <v>2</v>
      </c>
      <c r="BG42" s="50">
        <v>4</v>
      </c>
      <c r="BH42" s="49">
        <v>0</v>
      </c>
      <c r="BI42" s="50">
        <v>0</v>
      </c>
      <c r="BJ42" s="49">
        <v>0</v>
      </c>
      <c r="BK42" s="50">
        <v>0</v>
      </c>
      <c r="BL42" s="49">
        <v>48</v>
      </c>
      <c r="BM42" s="50">
        <v>96</v>
      </c>
      <c r="BN42" s="49">
        <v>50</v>
      </c>
    </row>
    <row r="43" spans="1:66" ht="15">
      <c r="A43" s="66" t="s">
        <v>578</v>
      </c>
      <c r="B43" s="66" t="s">
        <v>629</v>
      </c>
      <c r="C43" s="84"/>
      <c r="D43" s="94"/>
      <c r="E43" s="84"/>
      <c r="F43" s="96"/>
      <c r="G43" s="84"/>
      <c r="H43" s="82"/>
      <c r="I43" s="97"/>
      <c r="J43" s="97"/>
      <c r="K43" s="35" t="s">
        <v>65</v>
      </c>
      <c r="L43" s="98">
        <v>55</v>
      </c>
      <c r="M43" s="98"/>
      <c r="N43" s="99"/>
      <c r="O43" s="68" t="s">
        <v>262</v>
      </c>
      <c r="P43" s="70">
        <v>44697.085868055554</v>
      </c>
      <c r="Q43" s="68" t="s">
        <v>671</v>
      </c>
      <c r="R43" s="68"/>
      <c r="S43" s="68"/>
      <c r="T43" s="68"/>
      <c r="U43" s="68"/>
      <c r="V43" s="72" t="str">
        <f>HYPERLINK("https://pbs.twimg.com/profile_images/537767884013850624/UUBKong3_normal.jpeg")</f>
        <v>https://pbs.twimg.com/profile_images/537767884013850624/UUBKong3_normal.jpeg</v>
      </c>
      <c r="W43" s="70">
        <v>44697.085868055554</v>
      </c>
      <c r="X43" s="75">
        <v>44697</v>
      </c>
      <c r="Y43" s="73" t="s">
        <v>762</v>
      </c>
      <c r="Z43" s="72" t="str">
        <f>HYPERLINK("https://twitter.com/macilree/status/1526020522131456000")</f>
        <v>https://twitter.com/macilree/status/1526020522131456000</v>
      </c>
      <c r="AA43" s="68"/>
      <c r="AB43" s="68"/>
      <c r="AC43" s="73" t="s">
        <v>865</v>
      </c>
      <c r="AD43" s="68"/>
      <c r="AE43" s="68" t="b">
        <v>0</v>
      </c>
      <c r="AF43" s="68">
        <v>0</v>
      </c>
      <c r="AG43" s="73" t="s">
        <v>282</v>
      </c>
      <c r="AH43" s="68" t="b">
        <v>0</v>
      </c>
      <c r="AI43" s="68" t="s">
        <v>283</v>
      </c>
      <c r="AJ43" s="68"/>
      <c r="AK43" s="73" t="s">
        <v>282</v>
      </c>
      <c r="AL43" s="68" t="b">
        <v>0</v>
      </c>
      <c r="AM43" s="68">
        <v>11</v>
      </c>
      <c r="AN43" s="73" t="s">
        <v>919</v>
      </c>
      <c r="AO43" s="73" t="s">
        <v>950</v>
      </c>
      <c r="AP43" s="68" t="b">
        <v>0</v>
      </c>
      <c r="AQ43" s="73" t="s">
        <v>919</v>
      </c>
      <c r="AR43" s="68" t="s">
        <v>218</v>
      </c>
      <c r="AS43" s="68">
        <v>0</v>
      </c>
      <c r="AT43" s="68">
        <v>0</v>
      </c>
      <c r="AU43" s="68"/>
      <c r="AV43" s="68"/>
      <c r="AW43" s="68"/>
      <c r="AX43" s="68"/>
      <c r="AY43" s="68"/>
      <c r="AZ43" s="68"/>
      <c r="BA43" s="68"/>
      <c r="BB43" s="68"/>
      <c r="BC43" s="68">
        <v>1</v>
      </c>
      <c r="BD43" s="67" t="str">
        <f>REPLACE(INDEX(GroupVertices[Group],MATCH(Edges37[[#This Row],[Vertex 1]],GroupVertices[Vertex],0)),1,1,"")</f>
        <v>1</v>
      </c>
      <c r="BE43" s="67" t="str">
        <f>REPLACE(INDEX(GroupVertices[Group],MATCH(Edges37[[#This Row],[Vertex 2]],GroupVertices[Vertex],0)),1,1,"")</f>
        <v>1</v>
      </c>
      <c r="BF43" s="49">
        <v>1</v>
      </c>
      <c r="BG43" s="50">
        <v>2.272727272727273</v>
      </c>
      <c r="BH43" s="49">
        <v>0</v>
      </c>
      <c r="BI43" s="50">
        <v>0</v>
      </c>
      <c r="BJ43" s="49">
        <v>0</v>
      </c>
      <c r="BK43" s="50">
        <v>0</v>
      </c>
      <c r="BL43" s="49">
        <v>43</v>
      </c>
      <c r="BM43" s="50">
        <v>97.72727272727273</v>
      </c>
      <c r="BN43" s="49">
        <v>44</v>
      </c>
    </row>
    <row r="44" spans="1:66" ht="15">
      <c r="A44" s="66" t="s">
        <v>579</v>
      </c>
      <c r="B44" s="66" t="s">
        <v>625</v>
      </c>
      <c r="C44" s="84"/>
      <c r="D44" s="94"/>
      <c r="E44" s="84"/>
      <c r="F44" s="96"/>
      <c r="G44" s="84"/>
      <c r="H44" s="82"/>
      <c r="I44" s="97"/>
      <c r="J44" s="97"/>
      <c r="K44" s="35" t="s">
        <v>65</v>
      </c>
      <c r="L44" s="98">
        <v>56</v>
      </c>
      <c r="M44" s="98"/>
      <c r="N44" s="99"/>
      <c r="O44" s="68" t="s">
        <v>262</v>
      </c>
      <c r="P44" s="70">
        <v>44697.09054398148</v>
      </c>
      <c r="Q44" s="68" t="s">
        <v>673</v>
      </c>
      <c r="R44" s="68"/>
      <c r="S44" s="68"/>
      <c r="T44" s="68"/>
      <c r="U44" s="68"/>
      <c r="V44" s="72" t="str">
        <f>HYPERLINK("https://pbs.twimg.com/profile_images/1524714834314821632/_Pwn3z0M_normal.jpg")</f>
        <v>https://pbs.twimg.com/profile_images/1524714834314821632/_Pwn3z0M_normal.jpg</v>
      </c>
      <c r="W44" s="70">
        <v>44697.09054398148</v>
      </c>
      <c r="X44" s="75">
        <v>44697</v>
      </c>
      <c r="Y44" s="73" t="s">
        <v>763</v>
      </c>
      <c r="Z44" s="72" t="str">
        <f>HYPERLINK("https://twitter.com/uriohau/status/1526022215971774464")</f>
        <v>https://twitter.com/uriohau/status/1526022215971774464</v>
      </c>
      <c r="AA44" s="68"/>
      <c r="AB44" s="68"/>
      <c r="AC44" s="73" t="s">
        <v>866</v>
      </c>
      <c r="AD44" s="68"/>
      <c r="AE44" s="68" t="b">
        <v>0</v>
      </c>
      <c r="AF44" s="68">
        <v>0</v>
      </c>
      <c r="AG44" s="73" t="s">
        <v>282</v>
      </c>
      <c r="AH44" s="68" t="b">
        <v>0</v>
      </c>
      <c r="AI44" s="68" t="s">
        <v>283</v>
      </c>
      <c r="AJ44" s="68"/>
      <c r="AK44" s="73" t="s">
        <v>282</v>
      </c>
      <c r="AL44" s="68" t="b">
        <v>0</v>
      </c>
      <c r="AM44" s="68">
        <v>14</v>
      </c>
      <c r="AN44" s="73" t="s">
        <v>915</v>
      </c>
      <c r="AO44" s="73" t="s">
        <v>947</v>
      </c>
      <c r="AP44" s="68" t="b">
        <v>0</v>
      </c>
      <c r="AQ44" s="73" t="s">
        <v>915</v>
      </c>
      <c r="AR44" s="68" t="s">
        <v>218</v>
      </c>
      <c r="AS44" s="68">
        <v>0</v>
      </c>
      <c r="AT44" s="68">
        <v>0</v>
      </c>
      <c r="AU44" s="68"/>
      <c r="AV44" s="68"/>
      <c r="AW44" s="68"/>
      <c r="AX44" s="68"/>
      <c r="AY44" s="68"/>
      <c r="AZ44" s="68"/>
      <c r="BA44" s="68"/>
      <c r="BB44" s="68"/>
      <c r="BC44" s="68">
        <v>1</v>
      </c>
      <c r="BD44" s="67" t="str">
        <f>REPLACE(INDEX(GroupVertices[Group],MATCH(Edges37[[#This Row],[Vertex 1]],GroupVertices[Vertex],0)),1,1,"")</f>
        <v>3</v>
      </c>
      <c r="BE44" s="67" t="str">
        <f>REPLACE(INDEX(GroupVertices[Group],MATCH(Edges37[[#This Row],[Vertex 2]],GroupVertices[Vertex],0)),1,1,"")</f>
        <v>3</v>
      </c>
      <c r="BF44" s="49">
        <v>1</v>
      </c>
      <c r="BG44" s="50">
        <v>2.3255813953488373</v>
      </c>
      <c r="BH44" s="49">
        <v>0</v>
      </c>
      <c r="BI44" s="50">
        <v>0</v>
      </c>
      <c r="BJ44" s="49">
        <v>0</v>
      </c>
      <c r="BK44" s="50">
        <v>0</v>
      </c>
      <c r="BL44" s="49">
        <v>42</v>
      </c>
      <c r="BM44" s="50">
        <v>97.67441860465117</v>
      </c>
      <c r="BN44" s="49">
        <v>43</v>
      </c>
    </row>
    <row r="45" spans="1:66" ht="15">
      <c r="A45" s="66" t="s">
        <v>580</v>
      </c>
      <c r="B45" s="66" t="s">
        <v>629</v>
      </c>
      <c r="C45" s="84"/>
      <c r="D45" s="94"/>
      <c r="E45" s="84"/>
      <c r="F45" s="96"/>
      <c r="G45" s="84"/>
      <c r="H45" s="82"/>
      <c r="I45" s="97"/>
      <c r="J45" s="97"/>
      <c r="K45" s="35" t="s">
        <v>65</v>
      </c>
      <c r="L45" s="98">
        <v>57</v>
      </c>
      <c r="M45" s="98"/>
      <c r="N45" s="99"/>
      <c r="O45" s="68" t="s">
        <v>262</v>
      </c>
      <c r="P45" s="70">
        <v>44697.09342592592</v>
      </c>
      <c r="Q45" s="68" t="s">
        <v>671</v>
      </c>
      <c r="R45" s="68"/>
      <c r="S45" s="68"/>
      <c r="T45" s="68"/>
      <c r="U45" s="68"/>
      <c r="V45" s="72" t="str">
        <f>HYPERLINK("https://pbs.twimg.com/profile_images/378800000476930086/97e51731c2bccc31d5570806b033aa52_normal.jpeg")</f>
        <v>https://pbs.twimg.com/profile_images/378800000476930086/97e51731c2bccc31d5570806b033aa52_normal.jpeg</v>
      </c>
      <c r="W45" s="70">
        <v>44697.09342592592</v>
      </c>
      <c r="X45" s="75">
        <v>44697</v>
      </c>
      <c r="Y45" s="73" t="s">
        <v>764</v>
      </c>
      <c r="Z45" s="72" t="str">
        <f>HYPERLINK("https://twitter.com/jennyneligan/status/1526023260701618176")</f>
        <v>https://twitter.com/jennyneligan/status/1526023260701618176</v>
      </c>
      <c r="AA45" s="68"/>
      <c r="AB45" s="68"/>
      <c r="AC45" s="73" t="s">
        <v>867</v>
      </c>
      <c r="AD45" s="68"/>
      <c r="AE45" s="68" t="b">
        <v>0</v>
      </c>
      <c r="AF45" s="68">
        <v>0</v>
      </c>
      <c r="AG45" s="73" t="s">
        <v>282</v>
      </c>
      <c r="AH45" s="68" t="b">
        <v>0</v>
      </c>
      <c r="AI45" s="68" t="s">
        <v>283</v>
      </c>
      <c r="AJ45" s="68"/>
      <c r="AK45" s="73" t="s">
        <v>282</v>
      </c>
      <c r="AL45" s="68" t="b">
        <v>0</v>
      </c>
      <c r="AM45" s="68">
        <v>11</v>
      </c>
      <c r="AN45" s="73" t="s">
        <v>919</v>
      </c>
      <c r="AO45" s="73" t="s">
        <v>285</v>
      </c>
      <c r="AP45" s="68" t="b">
        <v>0</v>
      </c>
      <c r="AQ45" s="73" t="s">
        <v>919</v>
      </c>
      <c r="AR45" s="68" t="s">
        <v>218</v>
      </c>
      <c r="AS45" s="68">
        <v>0</v>
      </c>
      <c r="AT45" s="68">
        <v>0</v>
      </c>
      <c r="AU45" s="68"/>
      <c r="AV45" s="68"/>
      <c r="AW45" s="68"/>
      <c r="AX45" s="68"/>
      <c r="AY45" s="68"/>
      <c r="AZ45" s="68"/>
      <c r="BA45" s="68"/>
      <c r="BB45" s="68"/>
      <c r="BC45" s="68">
        <v>1</v>
      </c>
      <c r="BD45" s="67" t="str">
        <f>REPLACE(INDEX(GroupVertices[Group],MATCH(Edges37[[#This Row],[Vertex 1]],GroupVertices[Vertex],0)),1,1,"")</f>
        <v>1</v>
      </c>
      <c r="BE45" s="67" t="str">
        <f>REPLACE(INDEX(GroupVertices[Group],MATCH(Edges37[[#This Row],[Vertex 2]],GroupVertices[Vertex],0)),1,1,"")</f>
        <v>1</v>
      </c>
      <c r="BF45" s="49">
        <v>1</v>
      </c>
      <c r="BG45" s="50">
        <v>2.272727272727273</v>
      </c>
      <c r="BH45" s="49">
        <v>0</v>
      </c>
      <c r="BI45" s="50">
        <v>0</v>
      </c>
      <c r="BJ45" s="49">
        <v>0</v>
      </c>
      <c r="BK45" s="50">
        <v>0</v>
      </c>
      <c r="BL45" s="49">
        <v>43</v>
      </c>
      <c r="BM45" s="50">
        <v>97.72727272727273</v>
      </c>
      <c r="BN45" s="49">
        <v>44</v>
      </c>
    </row>
    <row r="46" spans="1:66" ht="15">
      <c r="A46" s="66" t="s">
        <v>581</v>
      </c>
      <c r="B46" s="66" t="s">
        <v>625</v>
      </c>
      <c r="C46" s="84"/>
      <c r="D46" s="94"/>
      <c r="E46" s="84"/>
      <c r="F46" s="96"/>
      <c r="G46" s="84"/>
      <c r="H46" s="82"/>
      <c r="I46" s="97"/>
      <c r="J46" s="97"/>
      <c r="K46" s="35" t="s">
        <v>65</v>
      </c>
      <c r="L46" s="98">
        <v>58</v>
      </c>
      <c r="M46" s="98"/>
      <c r="N46" s="99"/>
      <c r="O46" s="68" t="s">
        <v>262</v>
      </c>
      <c r="P46" s="70">
        <v>44697.09357638889</v>
      </c>
      <c r="Q46" s="68" t="s">
        <v>673</v>
      </c>
      <c r="R46" s="68"/>
      <c r="S46" s="68"/>
      <c r="T46" s="68"/>
      <c r="U46" s="68"/>
      <c r="V46" s="72" t="str">
        <f>HYPERLINK("https://pbs.twimg.com/profile_images/1175587153268527104/sbJ-R2-c_normal.jpg")</f>
        <v>https://pbs.twimg.com/profile_images/1175587153268527104/sbJ-R2-c_normal.jpg</v>
      </c>
      <c r="W46" s="70">
        <v>44697.09357638889</v>
      </c>
      <c r="X46" s="75">
        <v>44697</v>
      </c>
      <c r="Y46" s="73" t="s">
        <v>765</v>
      </c>
      <c r="Z46" s="72" t="str">
        <f>HYPERLINK("https://twitter.com/haylskoroi/status/1526023315441127426")</f>
        <v>https://twitter.com/haylskoroi/status/1526023315441127426</v>
      </c>
      <c r="AA46" s="68"/>
      <c r="AB46" s="68"/>
      <c r="AC46" s="73" t="s">
        <v>868</v>
      </c>
      <c r="AD46" s="68"/>
      <c r="AE46" s="68" t="b">
        <v>0</v>
      </c>
      <c r="AF46" s="68">
        <v>0</v>
      </c>
      <c r="AG46" s="73" t="s">
        <v>282</v>
      </c>
      <c r="AH46" s="68" t="b">
        <v>0</v>
      </c>
      <c r="AI46" s="68" t="s">
        <v>283</v>
      </c>
      <c r="AJ46" s="68"/>
      <c r="AK46" s="73" t="s">
        <v>282</v>
      </c>
      <c r="AL46" s="68" t="b">
        <v>0</v>
      </c>
      <c r="AM46" s="68">
        <v>14</v>
      </c>
      <c r="AN46" s="73" t="s">
        <v>915</v>
      </c>
      <c r="AO46" s="73" t="s">
        <v>285</v>
      </c>
      <c r="AP46" s="68" t="b">
        <v>0</v>
      </c>
      <c r="AQ46" s="73" t="s">
        <v>915</v>
      </c>
      <c r="AR46" s="68" t="s">
        <v>218</v>
      </c>
      <c r="AS46" s="68">
        <v>0</v>
      </c>
      <c r="AT46" s="68">
        <v>0</v>
      </c>
      <c r="AU46" s="68"/>
      <c r="AV46" s="68"/>
      <c r="AW46" s="68"/>
      <c r="AX46" s="68"/>
      <c r="AY46" s="68"/>
      <c r="AZ46" s="68"/>
      <c r="BA46" s="68"/>
      <c r="BB46" s="68"/>
      <c r="BC46" s="68">
        <v>1</v>
      </c>
      <c r="BD46" s="67" t="str">
        <f>REPLACE(INDEX(GroupVertices[Group],MATCH(Edges37[[#This Row],[Vertex 1]],GroupVertices[Vertex],0)),1,1,"")</f>
        <v>3</v>
      </c>
      <c r="BE46" s="67" t="str">
        <f>REPLACE(INDEX(GroupVertices[Group],MATCH(Edges37[[#This Row],[Vertex 2]],GroupVertices[Vertex],0)),1,1,"")</f>
        <v>3</v>
      </c>
      <c r="BF46" s="49">
        <v>1</v>
      </c>
      <c r="BG46" s="50">
        <v>2.3255813953488373</v>
      </c>
      <c r="BH46" s="49">
        <v>0</v>
      </c>
      <c r="BI46" s="50">
        <v>0</v>
      </c>
      <c r="BJ46" s="49">
        <v>0</v>
      </c>
      <c r="BK46" s="50">
        <v>0</v>
      </c>
      <c r="BL46" s="49">
        <v>42</v>
      </c>
      <c r="BM46" s="50">
        <v>97.67441860465117</v>
      </c>
      <c r="BN46" s="49">
        <v>43</v>
      </c>
    </row>
    <row r="47" spans="1:66" ht="15">
      <c r="A47" s="66" t="s">
        <v>582</v>
      </c>
      <c r="B47" s="66" t="s">
        <v>625</v>
      </c>
      <c r="C47" s="84"/>
      <c r="D47" s="94"/>
      <c r="E47" s="84"/>
      <c r="F47" s="96"/>
      <c r="G47" s="84"/>
      <c r="H47" s="82"/>
      <c r="I47" s="97"/>
      <c r="J47" s="97"/>
      <c r="K47" s="35" t="s">
        <v>65</v>
      </c>
      <c r="L47" s="98">
        <v>59</v>
      </c>
      <c r="M47" s="98"/>
      <c r="N47" s="99"/>
      <c r="O47" s="68" t="s">
        <v>262</v>
      </c>
      <c r="P47" s="70">
        <v>44697.095046296294</v>
      </c>
      <c r="Q47" s="68" t="s">
        <v>673</v>
      </c>
      <c r="R47" s="68"/>
      <c r="S47" s="68"/>
      <c r="T47" s="68"/>
      <c r="U47" s="68"/>
      <c r="V47" s="72" t="str">
        <f>HYPERLINK("https://pbs.twimg.com/profile_images/1437299302032822272/Xew9wpQo_normal.jpg")</f>
        <v>https://pbs.twimg.com/profile_images/1437299302032822272/Xew9wpQo_normal.jpg</v>
      </c>
      <c r="W47" s="70">
        <v>44697.095046296294</v>
      </c>
      <c r="X47" s="75">
        <v>44697</v>
      </c>
      <c r="Y47" s="73" t="s">
        <v>766</v>
      </c>
      <c r="Z47" s="72" t="str">
        <f>HYPERLINK("https://twitter.com/riseup4cja/status/1526023850047131649")</f>
        <v>https://twitter.com/riseup4cja/status/1526023850047131649</v>
      </c>
      <c r="AA47" s="68"/>
      <c r="AB47" s="68"/>
      <c r="AC47" s="73" t="s">
        <v>869</v>
      </c>
      <c r="AD47" s="68"/>
      <c r="AE47" s="68" t="b">
        <v>0</v>
      </c>
      <c r="AF47" s="68">
        <v>0</v>
      </c>
      <c r="AG47" s="73" t="s">
        <v>282</v>
      </c>
      <c r="AH47" s="68" t="b">
        <v>0</v>
      </c>
      <c r="AI47" s="68" t="s">
        <v>283</v>
      </c>
      <c r="AJ47" s="68"/>
      <c r="AK47" s="73" t="s">
        <v>282</v>
      </c>
      <c r="AL47" s="68" t="b">
        <v>0</v>
      </c>
      <c r="AM47" s="68">
        <v>14</v>
      </c>
      <c r="AN47" s="73" t="s">
        <v>915</v>
      </c>
      <c r="AO47" s="73" t="s">
        <v>285</v>
      </c>
      <c r="AP47" s="68" t="b">
        <v>0</v>
      </c>
      <c r="AQ47" s="73" t="s">
        <v>915</v>
      </c>
      <c r="AR47" s="68" t="s">
        <v>218</v>
      </c>
      <c r="AS47" s="68">
        <v>0</v>
      </c>
      <c r="AT47" s="68">
        <v>0</v>
      </c>
      <c r="AU47" s="68"/>
      <c r="AV47" s="68"/>
      <c r="AW47" s="68"/>
      <c r="AX47" s="68"/>
      <c r="AY47" s="68"/>
      <c r="AZ47" s="68"/>
      <c r="BA47" s="68"/>
      <c r="BB47" s="68"/>
      <c r="BC47" s="68">
        <v>1</v>
      </c>
      <c r="BD47" s="67" t="str">
        <f>REPLACE(INDEX(GroupVertices[Group],MATCH(Edges37[[#This Row],[Vertex 1]],GroupVertices[Vertex],0)),1,1,"")</f>
        <v>3</v>
      </c>
      <c r="BE47" s="67" t="str">
        <f>REPLACE(INDEX(GroupVertices[Group],MATCH(Edges37[[#This Row],[Vertex 2]],GroupVertices[Vertex],0)),1,1,"")</f>
        <v>3</v>
      </c>
      <c r="BF47" s="49">
        <v>1</v>
      </c>
      <c r="BG47" s="50">
        <v>2.3255813953488373</v>
      </c>
      <c r="BH47" s="49">
        <v>0</v>
      </c>
      <c r="BI47" s="50">
        <v>0</v>
      </c>
      <c r="BJ47" s="49">
        <v>0</v>
      </c>
      <c r="BK47" s="50">
        <v>0</v>
      </c>
      <c r="BL47" s="49">
        <v>42</v>
      </c>
      <c r="BM47" s="50">
        <v>97.67441860465117</v>
      </c>
      <c r="BN47" s="49">
        <v>43</v>
      </c>
    </row>
    <row r="48" spans="1:66" ht="15">
      <c r="A48" s="66" t="s">
        <v>583</v>
      </c>
      <c r="B48" s="66" t="s">
        <v>625</v>
      </c>
      <c r="C48" s="84"/>
      <c r="D48" s="94"/>
      <c r="E48" s="84"/>
      <c r="F48" s="96"/>
      <c r="G48" s="84"/>
      <c r="H48" s="82"/>
      <c r="I48" s="97"/>
      <c r="J48" s="97"/>
      <c r="K48" s="35" t="s">
        <v>65</v>
      </c>
      <c r="L48" s="98">
        <v>60</v>
      </c>
      <c r="M48" s="98"/>
      <c r="N48" s="99"/>
      <c r="O48" s="68" t="s">
        <v>262</v>
      </c>
      <c r="P48" s="70">
        <v>44697.097395833334</v>
      </c>
      <c r="Q48" s="68" t="s">
        <v>673</v>
      </c>
      <c r="R48" s="68"/>
      <c r="S48" s="68"/>
      <c r="T48" s="68"/>
      <c r="U48" s="68"/>
      <c r="V48" s="72" t="str">
        <f>HYPERLINK("https://pbs.twimg.com/profile_images/1386472261658451975/SrKrZGVt_normal.jpg")</f>
        <v>https://pbs.twimg.com/profile_images/1386472261658451975/SrKrZGVt_normal.jpg</v>
      </c>
      <c r="W48" s="70">
        <v>44697.097395833334</v>
      </c>
      <c r="X48" s="75">
        <v>44697</v>
      </c>
      <c r="Y48" s="73" t="s">
        <v>767</v>
      </c>
      <c r="Z48" s="72" t="str">
        <f>HYPERLINK("https://twitter.com/peterja27056176/status/1526024701117509632")</f>
        <v>https://twitter.com/peterja27056176/status/1526024701117509632</v>
      </c>
      <c r="AA48" s="68"/>
      <c r="AB48" s="68"/>
      <c r="AC48" s="73" t="s">
        <v>870</v>
      </c>
      <c r="AD48" s="68"/>
      <c r="AE48" s="68" t="b">
        <v>0</v>
      </c>
      <c r="AF48" s="68">
        <v>0</v>
      </c>
      <c r="AG48" s="73" t="s">
        <v>282</v>
      </c>
      <c r="AH48" s="68" t="b">
        <v>0</v>
      </c>
      <c r="AI48" s="68" t="s">
        <v>283</v>
      </c>
      <c r="AJ48" s="68"/>
      <c r="AK48" s="73" t="s">
        <v>282</v>
      </c>
      <c r="AL48" s="68" t="b">
        <v>0</v>
      </c>
      <c r="AM48" s="68">
        <v>14</v>
      </c>
      <c r="AN48" s="73" t="s">
        <v>915</v>
      </c>
      <c r="AO48" s="73" t="s">
        <v>284</v>
      </c>
      <c r="AP48" s="68" t="b">
        <v>0</v>
      </c>
      <c r="AQ48" s="73" t="s">
        <v>915</v>
      </c>
      <c r="AR48" s="68" t="s">
        <v>218</v>
      </c>
      <c r="AS48" s="68">
        <v>0</v>
      </c>
      <c r="AT48" s="68">
        <v>0</v>
      </c>
      <c r="AU48" s="68"/>
      <c r="AV48" s="68"/>
      <c r="AW48" s="68"/>
      <c r="AX48" s="68"/>
      <c r="AY48" s="68"/>
      <c r="AZ48" s="68"/>
      <c r="BA48" s="68"/>
      <c r="BB48" s="68"/>
      <c r="BC48" s="68">
        <v>1</v>
      </c>
      <c r="BD48" s="67" t="str">
        <f>REPLACE(INDEX(GroupVertices[Group],MATCH(Edges37[[#This Row],[Vertex 1]],GroupVertices[Vertex],0)),1,1,"")</f>
        <v>3</v>
      </c>
      <c r="BE48" s="67" t="str">
        <f>REPLACE(INDEX(GroupVertices[Group],MATCH(Edges37[[#This Row],[Vertex 2]],GroupVertices[Vertex],0)),1,1,"")</f>
        <v>3</v>
      </c>
      <c r="BF48" s="49">
        <v>1</v>
      </c>
      <c r="BG48" s="50">
        <v>2.3255813953488373</v>
      </c>
      <c r="BH48" s="49">
        <v>0</v>
      </c>
      <c r="BI48" s="50">
        <v>0</v>
      </c>
      <c r="BJ48" s="49">
        <v>0</v>
      </c>
      <c r="BK48" s="50">
        <v>0</v>
      </c>
      <c r="BL48" s="49">
        <v>42</v>
      </c>
      <c r="BM48" s="50">
        <v>97.67441860465117</v>
      </c>
      <c r="BN48" s="49">
        <v>43</v>
      </c>
    </row>
    <row r="49" spans="1:66" ht="15">
      <c r="A49" s="66" t="s">
        <v>584</v>
      </c>
      <c r="B49" s="66" t="s">
        <v>625</v>
      </c>
      <c r="C49" s="84"/>
      <c r="D49" s="94"/>
      <c r="E49" s="84"/>
      <c r="F49" s="96"/>
      <c r="G49" s="84"/>
      <c r="H49" s="82"/>
      <c r="I49" s="97"/>
      <c r="J49" s="97"/>
      <c r="K49" s="35" t="s">
        <v>65</v>
      </c>
      <c r="L49" s="98">
        <v>61</v>
      </c>
      <c r="M49" s="98"/>
      <c r="N49" s="99"/>
      <c r="O49" s="68" t="s">
        <v>262</v>
      </c>
      <c r="P49" s="70">
        <v>44697.10736111111</v>
      </c>
      <c r="Q49" s="68" t="s">
        <v>673</v>
      </c>
      <c r="R49" s="68"/>
      <c r="S49" s="68"/>
      <c r="T49" s="68"/>
      <c r="U49" s="68"/>
      <c r="V49" s="72" t="str">
        <f>HYPERLINK("https://pbs.twimg.com/profile_images/641906309126754304/MfpI6RtM_normal.jpg")</f>
        <v>https://pbs.twimg.com/profile_images/641906309126754304/MfpI6RtM_normal.jpg</v>
      </c>
      <c r="W49" s="70">
        <v>44697.10736111111</v>
      </c>
      <c r="X49" s="75">
        <v>44697</v>
      </c>
      <c r="Y49" s="73" t="s">
        <v>768</v>
      </c>
      <c r="Z49" s="72" t="str">
        <f>HYPERLINK("https://twitter.com/russelnorman/status/1526028313289863170")</f>
        <v>https://twitter.com/russelnorman/status/1526028313289863170</v>
      </c>
      <c r="AA49" s="68"/>
      <c r="AB49" s="68"/>
      <c r="AC49" s="73" t="s">
        <v>871</v>
      </c>
      <c r="AD49" s="68"/>
      <c r="AE49" s="68" t="b">
        <v>0</v>
      </c>
      <c r="AF49" s="68">
        <v>0</v>
      </c>
      <c r="AG49" s="73" t="s">
        <v>282</v>
      </c>
      <c r="AH49" s="68" t="b">
        <v>0</v>
      </c>
      <c r="AI49" s="68" t="s">
        <v>283</v>
      </c>
      <c r="AJ49" s="68"/>
      <c r="AK49" s="73" t="s">
        <v>282</v>
      </c>
      <c r="AL49" s="68" t="b">
        <v>0</v>
      </c>
      <c r="AM49" s="68">
        <v>14</v>
      </c>
      <c r="AN49" s="73" t="s">
        <v>915</v>
      </c>
      <c r="AO49" s="73" t="s">
        <v>284</v>
      </c>
      <c r="AP49" s="68" t="b">
        <v>0</v>
      </c>
      <c r="AQ49" s="73" t="s">
        <v>915</v>
      </c>
      <c r="AR49" s="68" t="s">
        <v>218</v>
      </c>
      <c r="AS49" s="68">
        <v>0</v>
      </c>
      <c r="AT49" s="68">
        <v>0</v>
      </c>
      <c r="AU49" s="68"/>
      <c r="AV49" s="68"/>
      <c r="AW49" s="68"/>
      <c r="AX49" s="68"/>
      <c r="AY49" s="68"/>
      <c r="AZ49" s="68"/>
      <c r="BA49" s="68"/>
      <c r="BB49" s="68"/>
      <c r="BC49" s="68">
        <v>1</v>
      </c>
      <c r="BD49" s="67" t="str">
        <f>REPLACE(INDEX(GroupVertices[Group],MATCH(Edges37[[#This Row],[Vertex 1]],GroupVertices[Vertex],0)),1,1,"")</f>
        <v>3</v>
      </c>
      <c r="BE49" s="67" t="str">
        <f>REPLACE(INDEX(GroupVertices[Group],MATCH(Edges37[[#This Row],[Vertex 2]],GroupVertices[Vertex],0)),1,1,"")</f>
        <v>3</v>
      </c>
      <c r="BF49" s="49">
        <v>1</v>
      </c>
      <c r="BG49" s="50">
        <v>2.3255813953488373</v>
      </c>
      <c r="BH49" s="49">
        <v>0</v>
      </c>
      <c r="BI49" s="50">
        <v>0</v>
      </c>
      <c r="BJ49" s="49">
        <v>0</v>
      </c>
      <c r="BK49" s="50">
        <v>0</v>
      </c>
      <c r="BL49" s="49">
        <v>42</v>
      </c>
      <c r="BM49" s="50">
        <v>97.67441860465117</v>
      </c>
      <c r="BN49" s="49">
        <v>43</v>
      </c>
    </row>
    <row r="50" spans="1:66" ht="15">
      <c r="A50" s="66" t="s">
        <v>585</v>
      </c>
      <c r="B50" s="66" t="s">
        <v>629</v>
      </c>
      <c r="C50" s="84"/>
      <c r="D50" s="94"/>
      <c r="E50" s="84"/>
      <c r="F50" s="96"/>
      <c r="G50" s="84"/>
      <c r="H50" s="82"/>
      <c r="I50" s="97"/>
      <c r="J50" s="97"/>
      <c r="K50" s="35" t="s">
        <v>65</v>
      </c>
      <c r="L50" s="98">
        <v>62</v>
      </c>
      <c r="M50" s="98"/>
      <c r="N50" s="99"/>
      <c r="O50" s="68" t="s">
        <v>262</v>
      </c>
      <c r="P50" s="70">
        <v>44697.10834490741</v>
      </c>
      <c r="Q50" s="68" t="s">
        <v>671</v>
      </c>
      <c r="R50" s="68"/>
      <c r="S50" s="68"/>
      <c r="T50" s="68"/>
      <c r="U50" s="68"/>
      <c r="V50" s="72" t="str">
        <f>HYPERLINK("https://pbs.twimg.com/profile_images/911719554346131457/tqzYif_V_normal.jpg")</f>
        <v>https://pbs.twimg.com/profile_images/911719554346131457/tqzYif_V_normal.jpg</v>
      </c>
      <c r="W50" s="70">
        <v>44697.10834490741</v>
      </c>
      <c r="X50" s="75">
        <v>44697</v>
      </c>
      <c r="Y50" s="73" t="s">
        <v>769</v>
      </c>
      <c r="Z50" s="72" t="str">
        <f>HYPERLINK("https://twitter.com/brianborunz/status/1526028670636539907")</f>
        <v>https://twitter.com/brianborunz/status/1526028670636539907</v>
      </c>
      <c r="AA50" s="68"/>
      <c r="AB50" s="68"/>
      <c r="AC50" s="73" t="s">
        <v>872</v>
      </c>
      <c r="AD50" s="68"/>
      <c r="AE50" s="68" t="b">
        <v>0</v>
      </c>
      <c r="AF50" s="68">
        <v>0</v>
      </c>
      <c r="AG50" s="73" t="s">
        <v>282</v>
      </c>
      <c r="AH50" s="68" t="b">
        <v>0</v>
      </c>
      <c r="AI50" s="68" t="s">
        <v>283</v>
      </c>
      <c r="AJ50" s="68"/>
      <c r="AK50" s="73" t="s">
        <v>282</v>
      </c>
      <c r="AL50" s="68" t="b">
        <v>0</v>
      </c>
      <c r="AM50" s="68">
        <v>11</v>
      </c>
      <c r="AN50" s="73" t="s">
        <v>919</v>
      </c>
      <c r="AO50" s="73" t="s">
        <v>947</v>
      </c>
      <c r="AP50" s="68" t="b">
        <v>0</v>
      </c>
      <c r="AQ50" s="73" t="s">
        <v>919</v>
      </c>
      <c r="AR50" s="68" t="s">
        <v>218</v>
      </c>
      <c r="AS50" s="68">
        <v>0</v>
      </c>
      <c r="AT50" s="68">
        <v>0</v>
      </c>
      <c r="AU50" s="68"/>
      <c r="AV50" s="68"/>
      <c r="AW50" s="68"/>
      <c r="AX50" s="68"/>
      <c r="AY50" s="68"/>
      <c r="AZ50" s="68"/>
      <c r="BA50" s="68"/>
      <c r="BB50" s="68"/>
      <c r="BC50" s="68">
        <v>1</v>
      </c>
      <c r="BD50" s="67" t="str">
        <f>REPLACE(INDEX(GroupVertices[Group],MATCH(Edges37[[#This Row],[Vertex 1]],GroupVertices[Vertex],0)),1,1,"")</f>
        <v>1</v>
      </c>
      <c r="BE50" s="67" t="str">
        <f>REPLACE(INDEX(GroupVertices[Group],MATCH(Edges37[[#This Row],[Vertex 2]],GroupVertices[Vertex],0)),1,1,"")</f>
        <v>1</v>
      </c>
      <c r="BF50" s="49">
        <v>1</v>
      </c>
      <c r="BG50" s="50">
        <v>2.272727272727273</v>
      </c>
      <c r="BH50" s="49">
        <v>0</v>
      </c>
      <c r="BI50" s="50">
        <v>0</v>
      </c>
      <c r="BJ50" s="49">
        <v>0</v>
      </c>
      <c r="BK50" s="50">
        <v>0</v>
      </c>
      <c r="BL50" s="49">
        <v>43</v>
      </c>
      <c r="BM50" s="50">
        <v>97.72727272727273</v>
      </c>
      <c r="BN50" s="49">
        <v>44</v>
      </c>
    </row>
    <row r="51" spans="1:66" ht="15">
      <c r="A51" s="66" t="s">
        <v>586</v>
      </c>
      <c r="B51" s="66" t="s">
        <v>586</v>
      </c>
      <c r="C51" s="84"/>
      <c r="D51" s="94"/>
      <c r="E51" s="84"/>
      <c r="F51" s="96"/>
      <c r="G51" s="84"/>
      <c r="H51" s="82"/>
      <c r="I51" s="97"/>
      <c r="J51" s="97"/>
      <c r="K51" s="35" t="s">
        <v>65</v>
      </c>
      <c r="L51" s="98">
        <v>63</v>
      </c>
      <c r="M51" s="98"/>
      <c r="N51" s="99"/>
      <c r="O51" s="68" t="s">
        <v>218</v>
      </c>
      <c r="P51" s="70">
        <v>44696.97222222222</v>
      </c>
      <c r="Q51" s="68" t="s">
        <v>674</v>
      </c>
      <c r="R51"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51" s="68" t="s">
        <v>269</v>
      </c>
      <c r="T51" s="68"/>
      <c r="U51" s="68"/>
      <c r="V51" s="72" t="str">
        <f>HYPERLINK("https://pbs.twimg.com/profile_images/1339869553237446661/RhTjPeSb_normal.jpg")</f>
        <v>https://pbs.twimg.com/profile_images/1339869553237446661/RhTjPeSb_normal.jpg</v>
      </c>
      <c r="W51" s="70">
        <v>44696.97222222222</v>
      </c>
      <c r="X51" s="75">
        <v>44696</v>
      </c>
      <c r="Y51" s="73" t="s">
        <v>770</v>
      </c>
      <c r="Z51" s="72" t="str">
        <f>HYPERLINK("https://twitter.com/newstalkzb/status/1525979338625060864")</f>
        <v>https://twitter.com/newstalkzb/status/1525979338625060864</v>
      </c>
      <c r="AA51" s="68"/>
      <c r="AB51" s="68"/>
      <c r="AC51" s="73" t="s">
        <v>873</v>
      </c>
      <c r="AD51" s="68"/>
      <c r="AE51" s="68" t="b">
        <v>0</v>
      </c>
      <c r="AF51" s="68">
        <v>1</v>
      </c>
      <c r="AG51" s="73" t="s">
        <v>282</v>
      </c>
      <c r="AH51" s="68" t="b">
        <v>0</v>
      </c>
      <c r="AI51" s="68" t="s">
        <v>283</v>
      </c>
      <c r="AJ51" s="68"/>
      <c r="AK51" s="73" t="s">
        <v>282</v>
      </c>
      <c r="AL51" s="68" t="b">
        <v>0</v>
      </c>
      <c r="AM51" s="68">
        <v>0</v>
      </c>
      <c r="AN51" s="73" t="s">
        <v>282</v>
      </c>
      <c r="AO51" s="73" t="s">
        <v>953</v>
      </c>
      <c r="AP51" s="68" t="b">
        <v>0</v>
      </c>
      <c r="AQ51" s="73" t="s">
        <v>873</v>
      </c>
      <c r="AR51" s="68" t="s">
        <v>218</v>
      </c>
      <c r="AS51" s="68">
        <v>0</v>
      </c>
      <c r="AT51" s="68">
        <v>0</v>
      </c>
      <c r="AU51" s="68"/>
      <c r="AV51" s="68"/>
      <c r="AW51" s="68"/>
      <c r="AX51" s="68"/>
      <c r="AY51" s="68"/>
      <c r="AZ51" s="68"/>
      <c r="BA51" s="68"/>
      <c r="BB51" s="68"/>
      <c r="BC51" s="68">
        <v>1</v>
      </c>
      <c r="BD51" s="67" t="str">
        <f>REPLACE(INDEX(GroupVertices[Group],MATCH(Edges37[[#This Row],[Vertex 1]],GroupVertices[Vertex],0)),1,1,"")</f>
        <v>21</v>
      </c>
      <c r="BE51" s="67" t="str">
        <f>REPLACE(INDEX(GroupVertices[Group],MATCH(Edges37[[#This Row],[Vertex 2]],GroupVertices[Vertex],0)),1,1,"")</f>
        <v>21</v>
      </c>
      <c r="BF51" s="49">
        <v>0</v>
      </c>
      <c r="BG51" s="50">
        <v>0</v>
      </c>
      <c r="BH51" s="49">
        <v>0</v>
      </c>
      <c r="BI51" s="50">
        <v>0</v>
      </c>
      <c r="BJ51" s="49">
        <v>0</v>
      </c>
      <c r="BK51" s="50">
        <v>0</v>
      </c>
      <c r="BL51" s="49">
        <v>15</v>
      </c>
      <c r="BM51" s="50">
        <v>100</v>
      </c>
      <c r="BN51" s="49">
        <v>15</v>
      </c>
    </row>
    <row r="52" spans="1:66" ht="15">
      <c r="A52" s="66" t="s">
        <v>587</v>
      </c>
      <c r="B52" s="66" t="s">
        <v>586</v>
      </c>
      <c r="C52" s="84"/>
      <c r="D52" s="94"/>
      <c r="E52" s="84"/>
      <c r="F52" s="96"/>
      <c r="G52" s="84"/>
      <c r="H52" s="82"/>
      <c r="I52" s="97"/>
      <c r="J52" s="97"/>
      <c r="K52" s="35" t="s">
        <v>65</v>
      </c>
      <c r="L52" s="98">
        <v>64</v>
      </c>
      <c r="M52" s="98"/>
      <c r="N52" s="99"/>
      <c r="O52" s="68" t="s">
        <v>263</v>
      </c>
      <c r="P52" s="70">
        <v>44697.10841435185</v>
      </c>
      <c r="Q52" s="68" t="s">
        <v>675</v>
      </c>
      <c r="R52"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52" s="68" t="s">
        <v>269</v>
      </c>
      <c r="T52" s="73" t="s">
        <v>715</v>
      </c>
      <c r="U52" s="68"/>
      <c r="V52" s="72" t="str">
        <f>HYPERLINK("https://pbs.twimg.com/profile_images/1199432744800931840/s3kZhXK2_normal.png")</f>
        <v>https://pbs.twimg.com/profile_images/1199432744800931840/s3kZhXK2_normal.png</v>
      </c>
      <c r="W52" s="70">
        <v>44697.10841435185</v>
      </c>
      <c r="X52" s="75">
        <v>44697</v>
      </c>
      <c r="Y52" s="73" t="s">
        <v>771</v>
      </c>
      <c r="Z52" s="72" t="str">
        <f>HYPERLINK("https://twitter.com/wellingtonuni/status/1526028693390376961")</f>
        <v>https://twitter.com/wellingtonuni/status/1526028693390376961</v>
      </c>
      <c r="AA52" s="68"/>
      <c r="AB52" s="68"/>
      <c r="AC52" s="73" t="s">
        <v>874</v>
      </c>
      <c r="AD52" s="68"/>
      <c r="AE52" s="68" t="b">
        <v>0</v>
      </c>
      <c r="AF52" s="68">
        <v>2</v>
      </c>
      <c r="AG52" s="73" t="s">
        <v>282</v>
      </c>
      <c r="AH52" s="68" t="b">
        <v>0</v>
      </c>
      <c r="AI52" s="68" t="s">
        <v>283</v>
      </c>
      <c r="AJ52" s="68"/>
      <c r="AK52" s="73" t="s">
        <v>282</v>
      </c>
      <c r="AL52" s="68" t="b">
        <v>0</v>
      </c>
      <c r="AM52" s="68">
        <v>0</v>
      </c>
      <c r="AN52" s="73" t="s">
        <v>282</v>
      </c>
      <c r="AO52" s="73" t="s">
        <v>954</v>
      </c>
      <c r="AP52" s="68" t="b">
        <v>0</v>
      </c>
      <c r="AQ52" s="73" t="s">
        <v>874</v>
      </c>
      <c r="AR52" s="68" t="s">
        <v>218</v>
      </c>
      <c r="AS52" s="68">
        <v>0</v>
      </c>
      <c r="AT52" s="68">
        <v>0</v>
      </c>
      <c r="AU52" s="68"/>
      <c r="AV52" s="68"/>
      <c r="AW52" s="68"/>
      <c r="AX52" s="68"/>
      <c r="AY52" s="68"/>
      <c r="AZ52" s="68"/>
      <c r="BA52" s="68"/>
      <c r="BB52" s="68"/>
      <c r="BC52" s="68">
        <v>1</v>
      </c>
      <c r="BD52" s="67" t="str">
        <f>REPLACE(INDEX(GroupVertices[Group],MATCH(Edges37[[#This Row],[Vertex 1]],GroupVertices[Vertex],0)),1,1,"")</f>
        <v>21</v>
      </c>
      <c r="BE52" s="67" t="str">
        <f>REPLACE(INDEX(GroupVertices[Group],MATCH(Edges37[[#This Row],[Vertex 2]],GroupVertices[Vertex],0)),1,1,"")</f>
        <v>21</v>
      </c>
      <c r="BF52" s="49">
        <v>1</v>
      </c>
      <c r="BG52" s="50">
        <v>3.0303030303030303</v>
      </c>
      <c r="BH52" s="49">
        <v>1</v>
      </c>
      <c r="BI52" s="50">
        <v>3.0303030303030303</v>
      </c>
      <c r="BJ52" s="49">
        <v>0</v>
      </c>
      <c r="BK52" s="50">
        <v>0</v>
      </c>
      <c r="BL52" s="49">
        <v>31</v>
      </c>
      <c r="BM52" s="50">
        <v>93.93939393939394</v>
      </c>
      <c r="BN52" s="49">
        <v>33</v>
      </c>
    </row>
    <row r="53" spans="1:66" ht="15">
      <c r="A53" s="66" t="s">
        <v>588</v>
      </c>
      <c r="B53" s="66" t="s">
        <v>625</v>
      </c>
      <c r="C53" s="84"/>
      <c r="D53" s="94"/>
      <c r="E53" s="84"/>
      <c r="F53" s="96"/>
      <c r="G53" s="84"/>
      <c r="H53" s="82"/>
      <c r="I53" s="97"/>
      <c r="J53" s="97"/>
      <c r="K53" s="35" t="s">
        <v>65</v>
      </c>
      <c r="L53" s="98">
        <v>65</v>
      </c>
      <c r="M53" s="98"/>
      <c r="N53" s="99"/>
      <c r="O53" s="68" t="s">
        <v>262</v>
      </c>
      <c r="P53" s="70">
        <v>44697.110810185186</v>
      </c>
      <c r="Q53" s="68" t="s">
        <v>673</v>
      </c>
      <c r="R53" s="68"/>
      <c r="S53" s="68"/>
      <c r="T53" s="68"/>
      <c r="U53" s="68"/>
      <c r="V53" s="72" t="str">
        <f>HYPERLINK("https://pbs.twimg.com/profile_images/378800000080455804/ad4249ac1021a7901bd5810ae668ab74_normal.png")</f>
        <v>https://pbs.twimg.com/profile_images/378800000080455804/ad4249ac1021a7901bd5810ae668ab74_normal.png</v>
      </c>
      <c r="W53" s="70">
        <v>44697.110810185186</v>
      </c>
      <c r="X53" s="75">
        <v>44697</v>
      </c>
      <c r="Y53" s="73" t="s">
        <v>772</v>
      </c>
      <c r="Z53" s="72" t="str">
        <f>HYPERLINK("https://twitter.com/norightturnnz/status/1526029563251134464")</f>
        <v>https://twitter.com/norightturnnz/status/1526029563251134464</v>
      </c>
      <c r="AA53" s="68"/>
      <c r="AB53" s="68"/>
      <c r="AC53" s="73" t="s">
        <v>875</v>
      </c>
      <c r="AD53" s="68"/>
      <c r="AE53" s="68" t="b">
        <v>0</v>
      </c>
      <c r="AF53" s="68">
        <v>0</v>
      </c>
      <c r="AG53" s="73" t="s">
        <v>282</v>
      </c>
      <c r="AH53" s="68" t="b">
        <v>0</v>
      </c>
      <c r="AI53" s="68" t="s">
        <v>283</v>
      </c>
      <c r="AJ53" s="68"/>
      <c r="AK53" s="73" t="s">
        <v>282</v>
      </c>
      <c r="AL53" s="68" t="b">
        <v>0</v>
      </c>
      <c r="AM53" s="68">
        <v>14</v>
      </c>
      <c r="AN53" s="73" t="s">
        <v>915</v>
      </c>
      <c r="AO53" s="73" t="s">
        <v>285</v>
      </c>
      <c r="AP53" s="68" t="b">
        <v>0</v>
      </c>
      <c r="AQ53" s="73" t="s">
        <v>915</v>
      </c>
      <c r="AR53" s="68" t="s">
        <v>218</v>
      </c>
      <c r="AS53" s="68">
        <v>0</v>
      </c>
      <c r="AT53" s="68">
        <v>0</v>
      </c>
      <c r="AU53" s="68"/>
      <c r="AV53" s="68"/>
      <c r="AW53" s="68"/>
      <c r="AX53" s="68"/>
      <c r="AY53" s="68"/>
      <c r="AZ53" s="68"/>
      <c r="BA53" s="68"/>
      <c r="BB53" s="68"/>
      <c r="BC53" s="68">
        <v>1</v>
      </c>
      <c r="BD53" s="67" t="str">
        <f>REPLACE(INDEX(GroupVertices[Group],MATCH(Edges37[[#This Row],[Vertex 1]],GroupVertices[Vertex],0)),1,1,"")</f>
        <v>3</v>
      </c>
      <c r="BE53" s="67" t="str">
        <f>REPLACE(INDEX(GroupVertices[Group],MATCH(Edges37[[#This Row],[Vertex 2]],GroupVertices[Vertex],0)),1,1,"")</f>
        <v>3</v>
      </c>
      <c r="BF53" s="49">
        <v>1</v>
      </c>
      <c r="BG53" s="50">
        <v>2.3255813953488373</v>
      </c>
      <c r="BH53" s="49">
        <v>0</v>
      </c>
      <c r="BI53" s="50">
        <v>0</v>
      </c>
      <c r="BJ53" s="49">
        <v>0</v>
      </c>
      <c r="BK53" s="50">
        <v>0</v>
      </c>
      <c r="BL53" s="49">
        <v>42</v>
      </c>
      <c r="BM53" s="50">
        <v>97.67441860465117</v>
      </c>
      <c r="BN53" s="49">
        <v>43</v>
      </c>
    </row>
    <row r="54" spans="1:66" ht="15">
      <c r="A54" s="66" t="s">
        <v>589</v>
      </c>
      <c r="B54" s="66" t="s">
        <v>625</v>
      </c>
      <c r="C54" s="84"/>
      <c r="D54" s="94"/>
      <c r="E54" s="84"/>
      <c r="F54" s="96"/>
      <c r="G54" s="84"/>
      <c r="H54" s="82"/>
      <c r="I54" s="97"/>
      <c r="J54" s="97"/>
      <c r="K54" s="35" t="s">
        <v>65</v>
      </c>
      <c r="L54" s="98">
        <v>66</v>
      </c>
      <c r="M54" s="98"/>
      <c r="N54" s="99"/>
      <c r="O54" s="68" t="s">
        <v>262</v>
      </c>
      <c r="P54" s="70">
        <v>44697.11240740741</v>
      </c>
      <c r="Q54" s="68" t="s">
        <v>673</v>
      </c>
      <c r="R54" s="68"/>
      <c r="S54" s="68"/>
      <c r="T54" s="68"/>
      <c r="U54" s="68"/>
      <c r="V54" s="72" t="str">
        <f>HYPERLINK("https://pbs.twimg.com/profile_images/900528757714243584/lFiaz9wi_normal.jpg")</f>
        <v>https://pbs.twimg.com/profile_images/900528757714243584/lFiaz9wi_normal.jpg</v>
      </c>
      <c r="W54" s="70">
        <v>44697.11240740741</v>
      </c>
      <c r="X54" s="75">
        <v>44697</v>
      </c>
      <c r="Y54" s="73" t="s">
        <v>773</v>
      </c>
      <c r="Z54" s="72" t="str">
        <f>HYPERLINK("https://twitter.com/gplnz/status/1526030139834142720")</f>
        <v>https://twitter.com/gplnz/status/1526030139834142720</v>
      </c>
      <c r="AA54" s="68"/>
      <c r="AB54" s="68"/>
      <c r="AC54" s="73" t="s">
        <v>876</v>
      </c>
      <c r="AD54" s="68"/>
      <c r="AE54" s="68" t="b">
        <v>0</v>
      </c>
      <c r="AF54" s="68">
        <v>0</v>
      </c>
      <c r="AG54" s="73" t="s">
        <v>282</v>
      </c>
      <c r="AH54" s="68" t="b">
        <v>0</v>
      </c>
      <c r="AI54" s="68" t="s">
        <v>283</v>
      </c>
      <c r="AJ54" s="68"/>
      <c r="AK54" s="73" t="s">
        <v>282</v>
      </c>
      <c r="AL54" s="68" t="b">
        <v>0</v>
      </c>
      <c r="AM54" s="68">
        <v>14</v>
      </c>
      <c r="AN54" s="73" t="s">
        <v>915</v>
      </c>
      <c r="AO54" s="73" t="s">
        <v>285</v>
      </c>
      <c r="AP54" s="68" t="b">
        <v>0</v>
      </c>
      <c r="AQ54" s="73" t="s">
        <v>915</v>
      </c>
      <c r="AR54" s="68" t="s">
        <v>218</v>
      </c>
      <c r="AS54" s="68">
        <v>0</v>
      </c>
      <c r="AT54" s="68">
        <v>0</v>
      </c>
      <c r="AU54" s="68"/>
      <c r="AV54" s="68"/>
      <c r="AW54" s="68"/>
      <c r="AX54" s="68"/>
      <c r="AY54" s="68"/>
      <c r="AZ54" s="68"/>
      <c r="BA54" s="68"/>
      <c r="BB54" s="68"/>
      <c r="BC54" s="68">
        <v>1</v>
      </c>
      <c r="BD54" s="67" t="str">
        <f>REPLACE(INDEX(GroupVertices[Group],MATCH(Edges37[[#This Row],[Vertex 1]],GroupVertices[Vertex],0)),1,1,"")</f>
        <v>3</v>
      </c>
      <c r="BE54" s="67" t="str">
        <f>REPLACE(INDEX(GroupVertices[Group],MATCH(Edges37[[#This Row],[Vertex 2]],GroupVertices[Vertex],0)),1,1,"")</f>
        <v>3</v>
      </c>
      <c r="BF54" s="49">
        <v>1</v>
      </c>
      <c r="BG54" s="50">
        <v>2.3255813953488373</v>
      </c>
      <c r="BH54" s="49">
        <v>0</v>
      </c>
      <c r="BI54" s="50">
        <v>0</v>
      </c>
      <c r="BJ54" s="49">
        <v>0</v>
      </c>
      <c r="BK54" s="50">
        <v>0</v>
      </c>
      <c r="BL54" s="49">
        <v>42</v>
      </c>
      <c r="BM54" s="50">
        <v>97.67441860465117</v>
      </c>
      <c r="BN54" s="49">
        <v>43</v>
      </c>
    </row>
    <row r="55" spans="1:66" ht="15">
      <c r="A55" s="66" t="s">
        <v>590</v>
      </c>
      <c r="B55" s="66" t="s">
        <v>643</v>
      </c>
      <c r="C55" s="84"/>
      <c r="D55" s="94"/>
      <c r="E55" s="84"/>
      <c r="F55" s="96"/>
      <c r="G55" s="84"/>
      <c r="H55" s="82"/>
      <c r="I55" s="97"/>
      <c r="J55" s="97"/>
      <c r="K55" s="35" t="s">
        <v>65</v>
      </c>
      <c r="L55" s="98">
        <v>67</v>
      </c>
      <c r="M55" s="98"/>
      <c r="N55" s="99"/>
      <c r="O55" s="68" t="s">
        <v>654</v>
      </c>
      <c r="P55" s="70">
        <v>44697.11351851852</v>
      </c>
      <c r="Q55" s="68" t="s">
        <v>676</v>
      </c>
      <c r="R55" s="68"/>
      <c r="S55" s="68"/>
      <c r="T55" s="68"/>
      <c r="U55" s="68"/>
      <c r="V55" s="72" t="str">
        <f>HYPERLINK("https://pbs.twimg.com/profile_images/988730596888166400/5q2ooFC-_normal.jpg")</f>
        <v>https://pbs.twimg.com/profile_images/988730596888166400/5q2ooFC-_normal.jpg</v>
      </c>
      <c r="W55" s="70">
        <v>44697.11351851852</v>
      </c>
      <c r="X55" s="75">
        <v>44697</v>
      </c>
      <c r="Y55" s="73" t="s">
        <v>774</v>
      </c>
      <c r="Z55" s="72" t="str">
        <f>HYPERLINK("https://twitter.com/paulbmcgill/status/1526030542658887680")</f>
        <v>https://twitter.com/paulbmcgill/status/1526030542658887680</v>
      </c>
      <c r="AA55" s="68"/>
      <c r="AB55" s="68"/>
      <c r="AC55" s="73" t="s">
        <v>877</v>
      </c>
      <c r="AD55" s="73" t="s">
        <v>931</v>
      </c>
      <c r="AE55" s="68" t="b">
        <v>0</v>
      </c>
      <c r="AF55" s="68">
        <v>1</v>
      </c>
      <c r="AG55" s="73" t="s">
        <v>937</v>
      </c>
      <c r="AH55" s="68" t="b">
        <v>0</v>
      </c>
      <c r="AI55" s="68" t="s">
        <v>283</v>
      </c>
      <c r="AJ55" s="68"/>
      <c r="AK55" s="73" t="s">
        <v>282</v>
      </c>
      <c r="AL55" s="68" t="b">
        <v>0</v>
      </c>
      <c r="AM55" s="68">
        <v>0</v>
      </c>
      <c r="AN55" s="73" t="s">
        <v>282</v>
      </c>
      <c r="AO55" s="73" t="s">
        <v>284</v>
      </c>
      <c r="AP55" s="68" t="b">
        <v>0</v>
      </c>
      <c r="AQ55" s="73" t="s">
        <v>931</v>
      </c>
      <c r="AR55" s="68" t="s">
        <v>218</v>
      </c>
      <c r="AS55" s="68">
        <v>0</v>
      </c>
      <c r="AT55" s="68">
        <v>0</v>
      </c>
      <c r="AU55" s="68" t="s">
        <v>958</v>
      </c>
      <c r="AV55" s="68" t="s">
        <v>326</v>
      </c>
      <c r="AW55" s="68" t="s">
        <v>959</v>
      </c>
      <c r="AX55" s="68" t="s">
        <v>960</v>
      </c>
      <c r="AY55" s="68" t="s">
        <v>961</v>
      </c>
      <c r="AZ55" s="68" t="s">
        <v>962</v>
      </c>
      <c r="BA55" s="68" t="s">
        <v>963</v>
      </c>
      <c r="BB55" s="72" t="str">
        <f>HYPERLINK("https://api.twitter.com/1.1/geo/id/013b5456649606dc.json")</f>
        <v>https://api.twitter.com/1.1/geo/id/013b5456649606dc.json</v>
      </c>
      <c r="BC55" s="68">
        <v>1</v>
      </c>
      <c r="BD55" s="67" t="str">
        <f>REPLACE(INDEX(GroupVertices[Group],MATCH(Edges37[[#This Row],[Vertex 1]],GroupVertices[Vertex],0)),1,1,"")</f>
        <v>20</v>
      </c>
      <c r="BE55" s="67" t="str">
        <f>REPLACE(INDEX(GroupVertices[Group],MATCH(Edges37[[#This Row],[Vertex 2]],GroupVertices[Vertex],0)),1,1,"")</f>
        <v>20</v>
      </c>
      <c r="BF55" s="49">
        <v>0</v>
      </c>
      <c r="BG55" s="50">
        <v>0</v>
      </c>
      <c r="BH55" s="49">
        <v>0</v>
      </c>
      <c r="BI55" s="50">
        <v>0</v>
      </c>
      <c r="BJ55" s="49">
        <v>0</v>
      </c>
      <c r="BK55" s="50">
        <v>0</v>
      </c>
      <c r="BL55" s="49">
        <v>55</v>
      </c>
      <c r="BM55" s="50">
        <v>100</v>
      </c>
      <c r="BN55" s="49">
        <v>55</v>
      </c>
    </row>
    <row r="56" spans="1:66" ht="15">
      <c r="A56" s="66" t="s">
        <v>591</v>
      </c>
      <c r="B56" s="66" t="s">
        <v>625</v>
      </c>
      <c r="C56" s="84"/>
      <c r="D56" s="94"/>
      <c r="E56" s="84"/>
      <c r="F56" s="96"/>
      <c r="G56" s="84"/>
      <c r="H56" s="82"/>
      <c r="I56" s="97"/>
      <c r="J56" s="97"/>
      <c r="K56" s="35" t="s">
        <v>65</v>
      </c>
      <c r="L56" s="98">
        <v>68</v>
      </c>
      <c r="M56" s="98"/>
      <c r="N56" s="99"/>
      <c r="O56" s="68" t="s">
        <v>262</v>
      </c>
      <c r="P56" s="70">
        <v>44697.11798611111</v>
      </c>
      <c r="Q56" s="68" t="s">
        <v>673</v>
      </c>
      <c r="R56" s="68"/>
      <c r="S56" s="68"/>
      <c r="T56" s="68"/>
      <c r="U56" s="68"/>
      <c r="V56" s="72" t="str">
        <f>HYPERLINK("https://pbs.twimg.com/profile_images/1512162081092816897/SDkiFysH_normal.jpg")</f>
        <v>https://pbs.twimg.com/profile_images/1512162081092816897/SDkiFysH_normal.jpg</v>
      </c>
      <c r="W56" s="70">
        <v>44697.11798611111</v>
      </c>
      <c r="X56" s="75">
        <v>44697</v>
      </c>
      <c r="Y56" s="73" t="s">
        <v>775</v>
      </c>
      <c r="Z56" s="72" t="str">
        <f>HYPERLINK("https://twitter.com/nickofnz/status/1526032160829755392")</f>
        <v>https://twitter.com/nickofnz/status/1526032160829755392</v>
      </c>
      <c r="AA56" s="68"/>
      <c r="AB56" s="68"/>
      <c r="AC56" s="73" t="s">
        <v>878</v>
      </c>
      <c r="AD56" s="68"/>
      <c r="AE56" s="68" t="b">
        <v>0</v>
      </c>
      <c r="AF56" s="68">
        <v>0</v>
      </c>
      <c r="AG56" s="73" t="s">
        <v>282</v>
      </c>
      <c r="AH56" s="68" t="b">
        <v>0</v>
      </c>
      <c r="AI56" s="68" t="s">
        <v>283</v>
      </c>
      <c r="AJ56" s="68"/>
      <c r="AK56" s="73" t="s">
        <v>282</v>
      </c>
      <c r="AL56" s="68" t="b">
        <v>0</v>
      </c>
      <c r="AM56" s="68">
        <v>14</v>
      </c>
      <c r="AN56" s="73" t="s">
        <v>915</v>
      </c>
      <c r="AO56" s="73" t="s">
        <v>285</v>
      </c>
      <c r="AP56" s="68" t="b">
        <v>0</v>
      </c>
      <c r="AQ56" s="73" t="s">
        <v>915</v>
      </c>
      <c r="AR56" s="68" t="s">
        <v>218</v>
      </c>
      <c r="AS56" s="68">
        <v>0</v>
      </c>
      <c r="AT56" s="68">
        <v>0</v>
      </c>
      <c r="AU56" s="68"/>
      <c r="AV56" s="68"/>
      <c r="AW56" s="68"/>
      <c r="AX56" s="68"/>
      <c r="AY56" s="68"/>
      <c r="AZ56" s="68"/>
      <c r="BA56" s="68"/>
      <c r="BB56" s="68"/>
      <c r="BC56" s="68">
        <v>1</v>
      </c>
      <c r="BD56" s="67" t="str">
        <f>REPLACE(INDEX(GroupVertices[Group],MATCH(Edges37[[#This Row],[Vertex 1]],GroupVertices[Vertex],0)),1,1,"")</f>
        <v>3</v>
      </c>
      <c r="BE56" s="67" t="str">
        <f>REPLACE(INDEX(GroupVertices[Group],MATCH(Edges37[[#This Row],[Vertex 2]],GroupVertices[Vertex],0)),1,1,"")</f>
        <v>3</v>
      </c>
      <c r="BF56" s="49">
        <v>1</v>
      </c>
      <c r="BG56" s="50">
        <v>2.3255813953488373</v>
      </c>
      <c r="BH56" s="49">
        <v>0</v>
      </c>
      <c r="BI56" s="50">
        <v>0</v>
      </c>
      <c r="BJ56" s="49">
        <v>0</v>
      </c>
      <c r="BK56" s="50">
        <v>0</v>
      </c>
      <c r="BL56" s="49">
        <v>42</v>
      </c>
      <c r="BM56" s="50">
        <v>97.67441860465117</v>
      </c>
      <c r="BN56" s="49">
        <v>43</v>
      </c>
    </row>
    <row r="57" spans="1:66" ht="15">
      <c r="A57" s="66" t="s">
        <v>592</v>
      </c>
      <c r="B57" s="66" t="s">
        <v>625</v>
      </c>
      <c r="C57" s="84"/>
      <c r="D57" s="94"/>
      <c r="E57" s="84"/>
      <c r="F57" s="96"/>
      <c r="G57" s="84"/>
      <c r="H57" s="82"/>
      <c r="I57" s="97"/>
      <c r="J57" s="97"/>
      <c r="K57" s="35" t="s">
        <v>65</v>
      </c>
      <c r="L57" s="98">
        <v>69</v>
      </c>
      <c r="M57" s="98"/>
      <c r="N57" s="99"/>
      <c r="O57" s="68" t="s">
        <v>262</v>
      </c>
      <c r="P57" s="70">
        <v>44697.12096064815</v>
      </c>
      <c r="Q57" s="68" t="s">
        <v>673</v>
      </c>
      <c r="R57" s="68"/>
      <c r="S57" s="68"/>
      <c r="T57" s="68"/>
      <c r="U57" s="68"/>
      <c r="V57" s="72" t="str">
        <f>HYPERLINK("https://pbs.twimg.com/profile_images/646237560868462597/sZUS7hsi_normal.jpg")</f>
        <v>https://pbs.twimg.com/profile_images/646237560868462597/sZUS7hsi_normal.jpg</v>
      </c>
      <c r="W57" s="70">
        <v>44697.12096064815</v>
      </c>
      <c r="X57" s="75">
        <v>44697</v>
      </c>
      <c r="Y57" s="73" t="s">
        <v>776</v>
      </c>
      <c r="Z57" s="72" t="str">
        <f>HYPERLINK("https://twitter.com/olivefarmer/status/1526033238678196224")</f>
        <v>https://twitter.com/olivefarmer/status/1526033238678196224</v>
      </c>
      <c r="AA57" s="68"/>
      <c r="AB57" s="68"/>
      <c r="AC57" s="73" t="s">
        <v>879</v>
      </c>
      <c r="AD57" s="68"/>
      <c r="AE57" s="68" t="b">
        <v>0</v>
      </c>
      <c r="AF57" s="68">
        <v>0</v>
      </c>
      <c r="AG57" s="73" t="s">
        <v>282</v>
      </c>
      <c r="AH57" s="68" t="b">
        <v>0</v>
      </c>
      <c r="AI57" s="68" t="s">
        <v>283</v>
      </c>
      <c r="AJ57" s="68"/>
      <c r="AK57" s="73" t="s">
        <v>282</v>
      </c>
      <c r="AL57" s="68" t="b">
        <v>0</v>
      </c>
      <c r="AM57" s="68">
        <v>14</v>
      </c>
      <c r="AN57" s="73" t="s">
        <v>915</v>
      </c>
      <c r="AO57" s="73" t="s">
        <v>285</v>
      </c>
      <c r="AP57" s="68" t="b">
        <v>0</v>
      </c>
      <c r="AQ57" s="73" t="s">
        <v>915</v>
      </c>
      <c r="AR57" s="68" t="s">
        <v>218</v>
      </c>
      <c r="AS57" s="68">
        <v>0</v>
      </c>
      <c r="AT57" s="68">
        <v>0</v>
      </c>
      <c r="AU57" s="68"/>
      <c r="AV57" s="68"/>
      <c r="AW57" s="68"/>
      <c r="AX57" s="68"/>
      <c r="AY57" s="68"/>
      <c r="AZ57" s="68"/>
      <c r="BA57" s="68"/>
      <c r="BB57" s="68"/>
      <c r="BC57" s="68">
        <v>1</v>
      </c>
      <c r="BD57" s="67" t="str">
        <f>REPLACE(INDEX(GroupVertices[Group],MATCH(Edges37[[#This Row],[Vertex 1]],GroupVertices[Vertex],0)),1,1,"")</f>
        <v>3</v>
      </c>
      <c r="BE57" s="67" t="str">
        <f>REPLACE(INDEX(GroupVertices[Group],MATCH(Edges37[[#This Row],[Vertex 2]],GroupVertices[Vertex],0)),1,1,"")</f>
        <v>3</v>
      </c>
      <c r="BF57" s="49">
        <v>1</v>
      </c>
      <c r="BG57" s="50">
        <v>2.3255813953488373</v>
      </c>
      <c r="BH57" s="49">
        <v>0</v>
      </c>
      <c r="BI57" s="50">
        <v>0</v>
      </c>
      <c r="BJ57" s="49">
        <v>0</v>
      </c>
      <c r="BK57" s="50">
        <v>0</v>
      </c>
      <c r="BL57" s="49">
        <v>42</v>
      </c>
      <c r="BM57" s="50">
        <v>97.67441860465117</v>
      </c>
      <c r="BN57" s="49">
        <v>43</v>
      </c>
    </row>
    <row r="58" spans="1:66" ht="15">
      <c r="A58" s="66" t="s">
        <v>593</v>
      </c>
      <c r="B58" s="66" t="s">
        <v>629</v>
      </c>
      <c r="C58" s="84"/>
      <c r="D58" s="94"/>
      <c r="E58" s="84"/>
      <c r="F58" s="96"/>
      <c r="G58" s="84"/>
      <c r="H58" s="82"/>
      <c r="I58" s="97"/>
      <c r="J58" s="97"/>
      <c r="K58" s="35" t="s">
        <v>65</v>
      </c>
      <c r="L58" s="98">
        <v>70</v>
      </c>
      <c r="M58" s="98"/>
      <c r="N58" s="99"/>
      <c r="O58" s="68" t="s">
        <v>262</v>
      </c>
      <c r="P58" s="70">
        <v>44697.12630787037</v>
      </c>
      <c r="Q58" s="68" t="s">
        <v>672</v>
      </c>
      <c r="R58" s="68"/>
      <c r="S58" s="68"/>
      <c r="T58" s="68"/>
      <c r="U58" s="68"/>
      <c r="V58" s="72" t="str">
        <f>HYPERLINK("https://pbs.twimg.com/profile_images/81534353/russb_gravatar_normal.png")</f>
        <v>https://pbs.twimg.com/profile_images/81534353/russb_gravatar_normal.png</v>
      </c>
      <c r="W58" s="70">
        <v>44697.12630787037</v>
      </c>
      <c r="X58" s="75">
        <v>44697</v>
      </c>
      <c r="Y58" s="73" t="s">
        <v>777</v>
      </c>
      <c r="Z58" s="72" t="str">
        <f>HYPERLINK("https://twitter.com/publicaddress/status/1526035180120862720")</f>
        <v>https://twitter.com/publicaddress/status/1526035180120862720</v>
      </c>
      <c r="AA58" s="68"/>
      <c r="AB58" s="68"/>
      <c r="AC58" s="73" t="s">
        <v>880</v>
      </c>
      <c r="AD58" s="68"/>
      <c r="AE58" s="68" t="b">
        <v>0</v>
      </c>
      <c r="AF58" s="68">
        <v>0</v>
      </c>
      <c r="AG58" s="73" t="s">
        <v>282</v>
      </c>
      <c r="AH58" s="68" t="b">
        <v>0</v>
      </c>
      <c r="AI58" s="68" t="s">
        <v>283</v>
      </c>
      <c r="AJ58" s="68"/>
      <c r="AK58" s="73" t="s">
        <v>282</v>
      </c>
      <c r="AL58" s="68" t="b">
        <v>0</v>
      </c>
      <c r="AM58" s="68">
        <v>13</v>
      </c>
      <c r="AN58" s="73" t="s">
        <v>920</v>
      </c>
      <c r="AO58" s="73" t="s">
        <v>285</v>
      </c>
      <c r="AP58" s="68" t="b">
        <v>0</v>
      </c>
      <c r="AQ58" s="73" t="s">
        <v>920</v>
      </c>
      <c r="AR58" s="68" t="s">
        <v>218</v>
      </c>
      <c r="AS58" s="68">
        <v>0</v>
      </c>
      <c r="AT58" s="68">
        <v>0</v>
      </c>
      <c r="AU58" s="68"/>
      <c r="AV58" s="68"/>
      <c r="AW58" s="68"/>
      <c r="AX58" s="68"/>
      <c r="AY58" s="68"/>
      <c r="AZ58" s="68"/>
      <c r="BA58" s="68"/>
      <c r="BB58" s="68"/>
      <c r="BC58" s="68">
        <v>1</v>
      </c>
      <c r="BD58" s="67" t="str">
        <f>REPLACE(INDEX(GroupVertices[Group],MATCH(Edges37[[#This Row],[Vertex 1]],GroupVertices[Vertex],0)),1,1,"")</f>
        <v>1</v>
      </c>
      <c r="BE58" s="67" t="str">
        <f>REPLACE(INDEX(GroupVertices[Group],MATCH(Edges37[[#This Row],[Vertex 2]],GroupVertices[Vertex],0)),1,1,"")</f>
        <v>1</v>
      </c>
      <c r="BF58" s="49">
        <v>2</v>
      </c>
      <c r="BG58" s="50">
        <v>4</v>
      </c>
      <c r="BH58" s="49">
        <v>0</v>
      </c>
      <c r="BI58" s="50">
        <v>0</v>
      </c>
      <c r="BJ58" s="49">
        <v>0</v>
      </c>
      <c r="BK58" s="50">
        <v>0</v>
      </c>
      <c r="BL58" s="49">
        <v>48</v>
      </c>
      <c r="BM58" s="50">
        <v>96</v>
      </c>
      <c r="BN58" s="49">
        <v>50</v>
      </c>
    </row>
    <row r="59" spans="1:66" ht="15">
      <c r="A59" s="66" t="s">
        <v>594</v>
      </c>
      <c r="B59" s="66" t="s">
        <v>629</v>
      </c>
      <c r="C59" s="84"/>
      <c r="D59" s="94"/>
      <c r="E59" s="84"/>
      <c r="F59" s="96"/>
      <c r="G59" s="84"/>
      <c r="H59" s="82"/>
      <c r="I59" s="97"/>
      <c r="J59" s="97"/>
      <c r="K59" s="35" t="s">
        <v>65</v>
      </c>
      <c r="L59" s="98">
        <v>71</v>
      </c>
      <c r="M59" s="98"/>
      <c r="N59" s="99"/>
      <c r="O59" s="68" t="s">
        <v>262</v>
      </c>
      <c r="P59" s="70">
        <v>44697.12734953704</v>
      </c>
      <c r="Q59" s="68" t="s">
        <v>672</v>
      </c>
      <c r="R59" s="68"/>
      <c r="S59" s="68"/>
      <c r="T59" s="68"/>
      <c r="U59" s="68"/>
      <c r="V59" s="72" t="str">
        <f>HYPERLINK("https://pbs.twimg.com/profile_images/1508682462410715137/nuOx04UL_normal.jpg")</f>
        <v>https://pbs.twimg.com/profile_images/1508682462410715137/nuOx04UL_normal.jpg</v>
      </c>
      <c r="W59" s="70">
        <v>44697.12734953704</v>
      </c>
      <c r="X59" s="75">
        <v>44697</v>
      </c>
      <c r="Y59" s="73" t="s">
        <v>778</v>
      </c>
      <c r="Z59" s="72" t="str">
        <f>HYPERLINK("https://twitter.com/bigfunk__/status/1526035555129389057")</f>
        <v>https://twitter.com/bigfunk__/status/1526035555129389057</v>
      </c>
      <c r="AA59" s="68"/>
      <c r="AB59" s="68"/>
      <c r="AC59" s="73" t="s">
        <v>881</v>
      </c>
      <c r="AD59" s="68"/>
      <c r="AE59" s="68" t="b">
        <v>0</v>
      </c>
      <c r="AF59" s="68">
        <v>0</v>
      </c>
      <c r="AG59" s="73" t="s">
        <v>282</v>
      </c>
      <c r="AH59" s="68" t="b">
        <v>0</v>
      </c>
      <c r="AI59" s="68" t="s">
        <v>283</v>
      </c>
      <c r="AJ59" s="68"/>
      <c r="AK59" s="73" t="s">
        <v>282</v>
      </c>
      <c r="AL59" s="68" t="b">
        <v>0</v>
      </c>
      <c r="AM59" s="68">
        <v>13</v>
      </c>
      <c r="AN59" s="73" t="s">
        <v>920</v>
      </c>
      <c r="AO59" s="73" t="s">
        <v>284</v>
      </c>
      <c r="AP59" s="68" t="b">
        <v>0</v>
      </c>
      <c r="AQ59" s="73" t="s">
        <v>920</v>
      </c>
      <c r="AR59" s="68" t="s">
        <v>218</v>
      </c>
      <c r="AS59" s="68">
        <v>0</v>
      </c>
      <c r="AT59" s="68">
        <v>0</v>
      </c>
      <c r="AU59" s="68"/>
      <c r="AV59" s="68"/>
      <c r="AW59" s="68"/>
      <c r="AX59" s="68"/>
      <c r="AY59" s="68"/>
      <c r="AZ59" s="68"/>
      <c r="BA59" s="68"/>
      <c r="BB59" s="68"/>
      <c r="BC59" s="68">
        <v>1</v>
      </c>
      <c r="BD59" s="67" t="str">
        <f>REPLACE(INDEX(GroupVertices[Group],MATCH(Edges37[[#This Row],[Vertex 1]],GroupVertices[Vertex],0)),1,1,"")</f>
        <v>1</v>
      </c>
      <c r="BE59" s="67" t="str">
        <f>REPLACE(INDEX(GroupVertices[Group],MATCH(Edges37[[#This Row],[Vertex 2]],GroupVertices[Vertex],0)),1,1,"")</f>
        <v>1</v>
      </c>
      <c r="BF59" s="49">
        <v>2</v>
      </c>
      <c r="BG59" s="50">
        <v>4</v>
      </c>
      <c r="BH59" s="49">
        <v>0</v>
      </c>
      <c r="BI59" s="50">
        <v>0</v>
      </c>
      <c r="BJ59" s="49">
        <v>0</v>
      </c>
      <c r="BK59" s="50">
        <v>0</v>
      </c>
      <c r="BL59" s="49">
        <v>48</v>
      </c>
      <c r="BM59" s="50">
        <v>96</v>
      </c>
      <c r="BN59" s="49">
        <v>50</v>
      </c>
    </row>
    <row r="60" spans="1:66" ht="15">
      <c r="A60" s="66" t="s">
        <v>595</v>
      </c>
      <c r="B60" s="66" t="s">
        <v>629</v>
      </c>
      <c r="C60" s="84"/>
      <c r="D60" s="94"/>
      <c r="E60" s="84"/>
      <c r="F60" s="96"/>
      <c r="G60" s="84"/>
      <c r="H60" s="82"/>
      <c r="I60" s="97"/>
      <c r="J60" s="97"/>
      <c r="K60" s="35" t="s">
        <v>65</v>
      </c>
      <c r="L60" s="98">
        <v>72</v>
      </c>
      <c r="M60" s="98"/>
      <c r="N60" s="99"/>
      <c r="O60" s="68" t="s">
        <v>262</v>
      </c>
      <c r="P60" s="70">
        <v>44697.1391087963</v>
      </c>
      <c r="Q60" s="68" t="s">
        <v>671</v>
      </c>
      <c r="R60" s="68"/>
      <c r="S60" s="68"/>
      <c r="T60" s="68"/>
      <c r="U60" s="68"/>
      <c r="V60" s="72" t="str">
        <f>HYPERLINK("https://pbs.twimg.com/profile_images/131621671/square_scoop_normal.jpg")</f>
        <v>https://pbs.twimg.com/profile_images/131621671/square_scoop_normal.jpg</v>
      </c>
      <c r="W60" s="70">
        <v>44697.1391087963</v>
      </c>
      <c r="X60" s="75">
        <v>44697</v>
      </c>
      <c r="Y60" s="73" t="s">
        <v>779</v>
      </c>
      <c r="Z60" s="72" t="str">
        <f>HYPERLINK("https://twitter.com/scoopwellington/status/1526039818245144576")</f>
        <v>https://twitter.com/scoopwellington/status/1526039818245144576</v>
      </c>
      <c r="AA60" s="68"/>
      <c r="AB60" s="68"/>
      <c r="AC60" s="73" t="s">
        <v>882</v>
      </c>
      <c r="AD60" s="68"/>
      <c r="AE60" s="68" t="b">
        <v>0</v>
      </c>
      <c r="AF60" s="68">
        <v>0</v>
      </c>
      <c r="AG60" s="73" t="s">
        <v>282</v>
      </c>
      <c r="AH60" s="68" t="b">
        <v>0</v>
      </c>
      <c r="AI60" s="68" t="s">
        <v>283</v>
      </c>
      <c r="AJ60" s="68"/>
      <c r="AK60" s="73" t="s">
        <v>282</v>
      </c>
      <c r="AL60" s="68" t="b">
        <v>0</v>
      </c>
      <c r="AM60" s="68">
        <v>11</v>
      </c>
      <c r="AN60" s="73" t="s">
        <v>919</v>
      </c>
      <c r="AO60" s="73" t="s">
        <v>285</v>
      </c>
      <c r="AP60" s="68" t="b">
        <v>0</v>
      </c>
      <c r="AQ60" s="73" t="s">
        <v>919</v>
      </c>
      <c r="AR60" s="68" t="s">
        <v>218</v>
      </c>
      <c r="AS60" s="68">
        <v>0</v>
      </c>
      <c r="AT60" s="68">
        <v>0</v>
      </c>
      <c r="AU60" s="68"/>
      <c r="AV60" s="68"/>
      <c r="AW60" s="68"/>
      <c r="AX60" s="68"/>
      <c r="AY60" s="68"/>
      <c r="AZ60" s="68"/>
      <c r="BA60" s="68"/>
      <c r="BB60" s="68"/>
      <c r="BC60" s="68">
        <v>1</v>
      </c>
      <c r="BD60" s="67" t="str">
        <f>REPLACE(INDEX(GroupVertices[Group],MATCH(Edges37[[#This Row],[Vertex 1]],GroupVertices[Vertex],0)),1,1,"")</f>
        <v>1</v>
      </c>
      <c r="BE60" s="67" t="str">
        <f>REPLACE(INDEX(GroupVertices[Group],MATCH(Edges37[[#This Row],[Vertex 2]],GroupVertices[Vertex],0)),1,1,"")</f>
        <v>1</v>
      </c>
      <c r="BF60" s="49">
        <v>1</v>
      </c>
      <c r="BG60" s="50">
        <v>2.272727272727273</v>
      </c>
      <c r="BH60" s="49">
        <v>0</v>
      </c>
      <c r="BI60" s="50">
        <v>0</v>
      </c>
      <c r="BJ60" s="49">
        <v>0</v>
      </c>
      <c r="BK60" s="50">
        <v>0</v>
      </c>
      <c r="BL60" s="49">
        <v>43</v>
      </c>
      <c r="BM60" s="50">
        <v>97.72727272727273</v>
      </c>
      <c r="BN60" s="49">
        <v>44</v>
      </c>
    </row>
    <row r="61" spans="1:66" ht="15">
      <c r="A61" s="66" t="s">
        <v>596</v>
      </c>
      <c r="B61" s="66" t="s">
        <v>629</v>
      </c>
      <c r="C61" s="84"/>
      <c r="D61" s="94"/>
      <c r="E61" s="84"/>
      <c r="F61" s="96"/>
      <c r="G61" s="84"/>
      <c r="H61" s="82"/>
      <c r="I61" s="97"/>
      <c r="J61" s="97"/>
      <c r="K61" s="35" t="s">
        <v>65</v>
      </c>
      <c r="L61" s="98">
        <v>73</v>
      </c>
      <c r="M61" s="98"/>
      <c r="N61" s="99"/>
      <c r="O61" s="68" t="s">
        <v>262</v>
      </c>
      <c r="P61" s="70">
        <v>44697.14350694444</v>
      </c>
      <c r="Q61" s="68" t="s">
        <v>672</v>
      </c>
      <c r="R61" s="68"/>
      <c r="S61" s="68"/>
      <c r="T61" s="68"/>
      <c r="U61" s="68"/>
      <c r="V61" s="72" t="str">
        <f>HYPERLINK("https://pbs.twimg.com/profile_images/957033521633099776/lnEjrroe_normal.jpg")</f>
        <v>https://pbs.twimg.com/profile_images/957033521633099776/lnEjrroe_normal.jpg</v>
      </c>
      <c r="W61" s="70">
        <v>44697.14350694444</v>
      </c>
      <c r="X61" s="75">
        <v>44697</v>
      </c>
      <c r="Y61" s="73" t="s">
        <v>780</v>
      </c>
      <c r="Z61" s="72" t="str">
        <f>HYPERLINK("https://twitter.com/julieannegenter/status/1526041409433632768")</f>
        <v>https://twitter.com/julieannegenter/status/1526041409433632768</v>
      </c>
      <c r="AA61" s="68"/>
      <c r="AB61" s="68"/>
      <c r="AC61" s="73" t="s">
        <v>883</v>
      </c>
      <c r="AD61" s="68"/>
      <c r="AE61" s="68" t="b">
        <v>0</v>
      </c>
      <c r="AF61" s="68">
        <v>0</v>
      </c>
      <c r="AG61" s="73" t="s">
        <v>282</v>
      </c>
      <c r="AH61" s="68" t="b">
        <v>0</v>
      </c>
      <c r="AI61" s="68" t="s">
        <v>283</v>
      </c>
      <c r="AJ61" s="68"/>
      <c r="AK61" s="73" t="s">
        <v>282</v>
      </c>
      <c r="AL61" s="68" t="b">
        <v>0</v>
      </c>
      <c r="AM61" s="68">
        <v>13</v>
      </c>
      <c r="AN61" s="73" t="s">
        <v>920</v>
      </c>
      <c r="AO61" s="73" t="s">
        <v>284</v>
      </c>
      <c r="AP61" s="68" t="b">
        <v>0</v>
      </c>
      <c r="AQ61" s="73" t="s">
        <v>920</v>
      </c>
      <c r="AR61" s="68" t="s">
        <v>218</v>
      </c>
      <c r="AS61" s="68">
        <v>0</v>
      </c>
      <c r="AT61" s="68">
        <v>0</v>
      </c>
      <c r="AU61" s="68"/>
      <c r="AV61" s="68"/>
      <c r="AW61" s="68"/>
      <c r="AX61" s="68"/>
      <c r="AY61" s="68"/>
      <c r="AZ61" s="68"/>
      <c r="BA61" s="68"/>
      <c r="BB61" s="68"/>
      <c r="BC61" s="68">
        <v>1</v>
      </c>
      <c r="BD61" s="67" t="str">
        <f>REPLACE(INDEX(GroupVertices[Group],MATCH(Edges37[[#This Row],[Vertex 1]],GroupVertices[Vertex],0)),1,1,"")</f>
        <v>1</v>
      </c>
      <c r="BE61" s="67" t="str">
        <f>REPLACE(INDEX(GroupVertices[Group],MATCH(Edges37[[#This Row],[Vertex 2]],GroupVertices[Vertex],0)),1,1,"")</f>
        <v>1</v>
      </c>
      <c r="BF61" s="49">
        <v>2</v>
      </c>
      <c r="BG61" s="50">
        <v>4</v>
      </c>
      <c r="BH61" s="49">
        <v>0</v>
      </c>
      <c r="BI61" s="50">
        <v>0</v>
      </c>
      <c r="BJ61" s="49">
        <v>0</v>
      </c>
      <c r="BK61" s="50">
        <v>0</v>
      </c>
      <c r="BL61" s="49">
        <v>48</v>
      </c>
      <c r="BM61" s="50">
        <v>96</v>
      </c>
      <c r="BN61" s="49">
        <v>50</v>
      </c>
    </row>
    <row r="62" spans="1:66" ht="15">
      <c r="A62" s="66" t="s">
        <v>597</v>
      </c>
      <c r="B62" s="66" t="s">
        <v>629</v>
      </c>
      <c r="C62" s="84"/>
      <c r="D62" s="94"/>
      <c r="E62" s="84"/>
      <c r="F62" s="96"/>
      <c r="G62" s="84"/>
      <c r="H62" s="82"/>
      <c r="I62" s="97"/>
      <c r="J62" s="97"/>
      <c r="K62" s="35" t="s">
        <v>65</v>
      </c>
      <c r="L62" s="98">
        <v>74</v>
      </c>
      <c r="M62" s="98"/>
      <c r="N62" s="99"/>
      <c r="O62" s="68" t="s">
        <v>262</v>
      </c>
      <c r="P62" s="70">
        <v>44697.14498842593</v>
      </c>
      <c r="Q62" s="68" t="s">
        <v>672</v>
      </c>
      <c r="R62" s="68"/>
      <c r="S62" s="68"/>
      <c r="T62" s="68"/>
      <c r="U62" s="68"/>
      <c r="V62" s="72" t="str">
        <f>HYPERLINK("https://pbs.twimg.com/profile_images/1518093307960004608/6YtJq09a_normal.jpg")</f>
        <v>https://pbs.twimg.com/profile_images/1518093307960004608/6YtJq09a_normal.jpg</v>
      </c>
      <c r="W62" s="70">
        <v>44697.14498842593</v>
      </c>
      <c r="X62" s="75">
        <v>44697</v>
      </c>
      <c r="Y62" s="73" t="s">
        <v>781</v>
      </c>
      <c r="Z62" s="72" t="str">
        <f>HYPERLINK("https://twitter.com/mighty_kites/status/1526041947466792960")</f>
        <v>https://twitter.com/mighty_kites/status/1526041947466792960</v>
      </c>
      <c r="AA62" s="68"/>
      <c r="AB62" s="68"/>
      <c r="AC62" s="73" t="s">
        <v>884</v>
      </c>
      <c r="AD62" s="68"/>
      <c r="AE62" s="68" t="b">
        <v>0</v>
      </c>
      <c r="AF62" s="68">
        <v>0</v>
      </c>
      <c r="AG62" s="73" t="s">
        <v>282</v>
      </c>
      <c r="AH62" s="68" t="b">
        <v>0</v>
      </c>
      <c r="AI62" s="68" t="s">
        <v>283</v>
      </c>
      <c r="AJ62" s="68"/>
      <c r="AK62" s="73" t="s">
        <v>282</v>
      </c>
      <c r="AL62" s="68" t="b">
        <v>0</v>
      </c>
      <c r="AM62" s="68">
        <v>13</v>
      </c>
      <c r="AN62" s="73" t="s">
        <v>920</v>
      </c>
      <c r="AO62" s="73" t="s">
        <v>284</v>
      </c>
      <c r="AP62" s="68" t="b">
        <v>0</v>
      </c>
      <c r="AQ62" s="73" t="s">
        <v>920</v>
      </c>
      <c r="AR62" s="68" t="s">
        <v>218</v>
      </c>
      <c r="AS62" s="68">
        <v>0</v>
      </c>
      <c r="AT62" s="68">
        <v>0</v>
      </c>
      <c r="AU62" s="68"/>
      <c r="AV62" s="68"/>
      <c r="AW62" s="68"/>
      <c r="AX62" s="68"/>
      <c r="AY62" s="68"/>
      <c r="AZ62" s="68"/>
      <c r="BA62" s="68"/>
      <c r="BB62" s="68"/>
      <c r="BC62" s="68">
        <v>1</v>
      </c>
      <c r="BD62" s="67" t="str">
        <f>REPLACE(INDEX(GroupVertices[Group],MATCH(Edges37[[#This Row],[Vertex 1]],GroupVertices[Vertex],0)),1,1,"")</f>
        <v>1</v>
      </c>
      <c r="BE62" s="67" t="str">
        <f>REPLACE(INDEX(GroupVertices[Group],MATCH(Edges37[[#This Row],[Vertex 2]],GroupVertices[Vertex],0)),1,1,"")</f>
        <v>1</v>
      </c>
      <c r="BF62" s="49">
        <v>2</v>
      </c>
      <c r="BG62" s="50">
        <v>4</v>
      </c>
      <c r="BH62" s="49">
        <v>0</v>
      </c>
      <c r="BI62" s="50">
        <v>0</v>
      </c>
      <c r="BJ62" s="49">
        <v>0</v>
      </c>
      <c r="BK62" s="50">
        <v>0</v>
      </c>
      <c r="BL62" s="49">
        <v>48</v>
      </c>
      <c r="BM62" s="50">
        <v>96</v>
      </c>
      <c r="BN62" s="49">
        <v>50</v>
      </c>
    </row>
    <row r="63" spans="1:66" ht="15">
      <c r="A63" s="66" t="s">
        <v>598</v>
      </c>
      <c r="B63" s="66" t="s">
        <v>629</v>
      </c>
      <c r="C63" s="84"/>
      <c r="D63" s="94"/>
      <c r="E63" s="84"/>
      <c r="F63" s="96"/>
      <c r="G63" s="84"/>
      <c r="H63" s="82"/>
      <c r="I63" s="97"/>
      <c r="J63" s="97"/>
      <c r="K63" s="35" t="s">
        <v>65</v>
      </c>
      <c r="L63" s="98">
        <v>75</v>
      </c>
      <c r="M63" s="98"/>
      <c r="N63" s="99"/>
      <c r="O63" s="68" t="s">
        <v>262</v>
      </c>
      <c r="P63" s="70">
        <v>44697.147361111114</v>
      </c>
      <c r="Q63" s="68" t="s">
        <v>672</v>
      </c>
      <c r="R63" s="68"/>
      <c r="S63" s="68"/>
      <c r="T63" s="68"/>
      <c r="U63" s="68"/>
      <c r="V63" s="72" t="str">
        <f>HYPERLINK("https://pbs.twimg.com/profile_images/729500103212294144/B2HW-xru_normal.jpg")</f>
        <v>https://pbs.twimg.com/profile_images/729500103212294144/B2HW-xru_normal.jpg</v>
      </c>
      <c r="W63" s="70">
        <v>44697.147361111114</v>
      </c>
      <c r="X63" s="75">
        <v>44697</v>
      </c>
      <c r="Y63" s="73" t="s">
        <v>782</v>
      </c>
      <c r="Z63" s="72" t="str">
        <f>HYPERLINK("https://twitter.com/whiskymead/status/1526042809152962560")</f>
        <v>https://twitter.com/whiskymead/status/1526042809152962560</v>
      </c>
      <c r="AA63" s="68"/>
      <c r="AB63" s="68"/>
      <c r="AC63" s="73" t="s">
        <v>885</v>
      </c>
      <c r="AD63" s="68"/>
      <c r="AE63" s="68" t="b">
        <v>0</v>
      </c>
      <c r="AF63" s="68">
        <v>0</v>
      </c>
      <c r="AG63" s="73" t="s">
        <v>282</v>
      </c>
      <c r="AH63" s="68" t="b">
        <v>0</v>
      </c>
      <c r="AI63" s="68" t="s">
        <v>283</v>
      </c>
      <c r="AJ63" s="68"/>
      <c r="AK63" s="73" t="s">
        <v>282</v>
      </c>
      <c r="AL63" s="68" t="b">
        <v>0</v>
      </c>
      <c r="AM63" s="68">
        <v>13</v>
      </c>
      <c r="AN63" s="73" t="s">
        <v>920</v>
      </c>
      <c r="AO63" s="73" t="s">
        <v>285</v>
      </c>
      <c r="AP63" s="68" t="b">
        <v>0</v>
      </c>
      <c r="AQ63" s="73" t="s">
        <v>920</v>
      </c>
      <c r="AR63" s="68" t="s">
        <v>218</v>
      </c>
      <c r="AS63" s="68">
        <v>0</v>
      </c>
      <c r="AT63" s="68">
        <v>0</v>
      </c>
      <c r="AU63" s="68"/>
      <c r="AV63" s="68"/>
      <c r="AW63" s="68"/>
      <c r="AX63" s="68"/>
      <c r="AY63" s="68"/>
      <c r="AZ63" s="68"/>
      <c r="BA63" s="68"/>
      <c r="BB63" s="68"/>
      <c r="BC63" s="68">
        <v>1</v>
      </c>
      <c r="BD63" s="67" t="str">
        <f>REPLACE(INDEX(GroupVertices[Group],MATCH(Edges37[[#This Row],[Vertex 1]],GroupVertices[Vertex],0)),1,1,"")</f>
        <v>1</v>
      </c>
      <c r="BE63" s="67" t="str">
        <f>REPLACE(INDEX(GroupVertices[Group],MATCH(Edges37[[#This Row],[Vertex 2]],GroupVertices[Vertex],0)),1,1,"")</f>
        <v>1</v>
      </c>
      <c r="BF63" s="49">
        <v>2</v>
      </c>
      <c r="BG63" s="50">
        <v>4</v>
      </c>
      <c r="BH63" s="49">
        <v>0</v>
      </c>
      <c r="BI63" s="50">
        <v>0</v>
      </c>
      <c r="BJ63" s="49">
        <v>0</v>
      </c>
      <c r="BK63" s="50">
        <v>0</v>
      </c>
      <c r="BL63" s="49">
        <v>48</v>
      </c>
      <c r="BM63" s="50">
        <v>96</v>
      </c>
      <c r="BN63" s="49">
        <v>50</v>
      </c>
    </row>
    <row r="64" spans="1:66" ht="15">
      <c r="A64" s="66" t="s">
        <v>599</v>
      </c>
      <c r="B64" s="66" t="s">
        <v>629</v>
      </c>
      <c r="C64" s="84"/>
      <c r="D64" s="94"/>
      <c r="E64" s="84"/>
      <c r="F64" s="96"/>
      <c r="G64" s="84"/>
      <c r="H64" s="82"/>
      <c r="I64" s="97"/>
      <c r="J64" s="97"/>
      <c r="K64" s="35" t="s">
        <v>65</v>
      </c>
      <c r="L64" s="98">
        <v>76</v>
      </c>
      <c r="M64" s="98"/>
      <c r="N64" s="99"/>
      <c r="O64" s="68" t="s">
        <v>262</v>
      </c>
      <c r="P64" s="70">
        <v>44697.0252662037</v>
      </c>
      <c r="Q64" s="68" t="s">
        <v>671</v>
      </c>
      <c r="R64" s="68"/>
      <c r="S64" s="68"/>
      <c r="T64" s="68"/>
      <c r="U64" s="68"/>
      <c r="V64" s="72" t="str">
        <f>HYPERLINK("https://pbs.twimg.com/profile_images/1507188923935895556/Er2AiGiO_normal.jpg")</f>
        <v>https://pbs.twimg.com/profile_images/1507188923935895556/Er2AiGiO_normal.jpg</v>
      </c>
      <c r="W64" s="70">
        <v>44697.0252662037</v>
      </c>
      <c r="X64" s="75">
        <v>44697</v>
      </c>
      <c r="Y64" s="73" t="s">
        <v>783</v>
      </c>
      <c r="Z64" s="72" t="str">
        <f>HYPERLINK("https://twitter.com/misswhanau/status/1525998559879114753")</f>
        <v>https://twitter.com/misswhanau/status/1525998559879114753</v>
      </c>
      <c r="AA64" s="68"/>
      <c r="AB64" s="68"/>
      <c r="AC64" s="73" t="s">
        <v>886</v>
      </c>
      <c r="AD64" s="68"/>
      <c r="AE64" s="68" t="b">
        <v>0</v>
      </c>
      <c r="AF64" s="68">
        <v>0</v>
      </c>
      <c r="AG64" s="73" t="s">
        <v>282</v>
      </c>
      <c r="AH64" s="68" t="b">
        <v>0</v>
      </c>
      <c r="AI64" s="68" t="s">
        <v>283</v>
      </c>
      <c r="AJ64" s="68"/>
      <c r="AK64" s="73" t="s">
        <v>282</v>
      </c>
      <c r="AL64" s="68" t="b">
        <v>0</v>
      </c>
      <c r="AM64" s="68">
        <v>11</v>
      </c>
      <c r="AN64" s="73" t="s">
        <v>919</v>
      </c>
      <c r="AO64" s="73" t="s">
        <v>285</v>
      </c>
      <c r="AP64" s="68" t="b">
        <v>0</v>
      </c>
      <c r="AQ64" s="73" t="s">
        <v>919</v>
      </c>
      <c r="AR64" s="68" t="s">
        <v>218</v>
      </c>
      <c r="AS64" s="68">
        <v>0</v>
      </c>
      <c r="AT64" s="68">
        <v>0</v>
      </c>
      <c r="AU64" s="68"/>
      <c r="AV64" s="68"/>
      <c r="AW64" s="68"/>
      <c r="AX64" s="68"/>
      <c r="AY64" s="68"/>
      <c r="AZ64" s="68"/>
      <c r="BA64" s="68"/>
      <c r="BB64" s="68"/>
      <c r="BC64" s="68">
        <v>2</v>
      </c>
      <c r="BD64" s="67" t="str">
        <f>REPLACE(INDEX(GroupVertices[Group],MATCH(Edges37[[#This Row],[Vertex 1]],GroupVertices[Vertex],0)),1,1,"")</f>
        <v>1</v>
      </c>
      <c r="BE64" s="67" t="str">
        <f>REPLACE(INDEX(GroupVertices[Group],MATCH(Edges37[[#This Row],[Vertex 2]],GroupVertices[Vertex],0)),1,1,"")</f>
        <v>1</v>
      </c>
      <c r="BF64" s="49">
        <v>1</v>
      </c>
      <c r="BG64" s="50">
        <v>2.272727272727273</v>
      </c>
      <c r="BH64" s="49">
        <v>0</v>
      </c>
      <c r="BI64" s="50">
        <v>0</v>
      </c>
      <c r="BJ64" s="49">
        <v>0</v>
      </c>
      <c r="BK64" s="50">
        <v>0</v>
      </c>
      <c r="BL64" s="49">
        <v>43</v>
      </c>
      <c r="BM64" s="50">
        <v>97.72727272727273</v>
      </c>
      <c r="BN64" s="49">
        <v>44</v>
      </c>
    </row>
    <row r="65" spans="1:66" ht="15">
      <c r="A65" s="66" t="s">
        <v>599</v>
      </c>
      <c r="B65" s="66" t="s">
        <v>629</v>
      </c>
      <c r="C65" s="84"/>
      <c r="D65" s="94"/>
      <c r="E65" s="84"/>
      <c r="F65" s="96"/>
      <c r="G65" s="84"/>
      <c r="H65" s="82"/>
      <c r="I65" s="97"/>
      <c r="J65" s="97"/>
      <c r="K65" s="35" t="s">
        <v>65</v>
      </c>
      <c r="L65" s="98">
        <v>77</v>
      </c>
      <c r="M65" s="98"/>
      <c r="N65" s="99"/>
      <c r="O65" s="68" t="s">
        <v>262</v>
      </c>
      <c r="P65" s="70">
        <v>44697.156956018516</v>
      </c>
      <c r="Q65" s="68" t="s">
        <v>672</v>
      </c>
      <c r="R65" s="68"/>
      <c r="S65" s="68"/>
      <c r="T65" s="68"/>
      <c r="U65" s="68"/>
      <c r="V65" s="72" t="str">
        <f>HYPERLINK("https://pbs.twimg.com/profile_images/1507188923935895556/Er2AiGiO_normal.jpg")</f>
        <v>https://pbs.twimg.com/profile_images/1507188923935895556/Er2AiGiO_normal.jpg</v>
      </c>
      <c r="W65" s="70">
        <v>44697.156956018516</v>
      </c>
      <c r="X65" s="75">
        <v>44697</v>
      </c>
      <c r="Y65" s="73" t="s">
        <v>784</v>
      </c>
      <c r="Z65" s="72" t="str">
        <f>HYPERLINK("https://twitter.com/misswhanau/status/1526046284553293826")</f>
        <v>https://twitter.com/misswhanau/status/1526046284553293826</v>
      </c>
      <c r="AA65" s="68"/>
      <c r="AB65" s="68"/>
      <c r="AC65" s="73" t="s">
        <v>887</v>
      </c>
      <c r="AD65" s="68"/>
      <c r="AE65" s="68" t="b">
        <v>0</v>
      </c>
      <c r="AF65" s="68">
        <v>0</v>
      </c>
      <c r="AG65" s="73" t="s">
        <v>282</v>
      </c>
      <c r="AH65" s="68" t="b">
        <v>0</v>
      </c>
      <c r="AI65" s="68" t="s">
        <v>283</v>
      </c>
      <c r="AJ65" s="68"/>
      <c r="AK65" s="73" t="s">
        <v>282</v>
      </c>
      <c r="AL65" s="68" t="b">
        <v>0</v>
      </c>
      <c r="AM65" s="68">
        <v>13</v>
      </c>
      <c r="AN65" s="73" t="s">
        <v>920</v>
      </c>
      <c r="AO65" s="73" t="s">
        <v>285</v>
      </c>
      <c r="AP65" s="68" t="b">
        <v>0</v>
      </c>
      <c r="AQ65" s="73" t="s">
        <v>920</v>
      </c>
      <c r="AR65" s="68" t="s">
        <v>218</v>
      </c>
      <c r="AS65" s="68">
        <v>0</v>
      </c>
      <c r="AT65" s="68">
        <v>0</v>
      </c>
      <c r="AU65" s="68"/>
      <c r="AV65" s="68"/>
      <c r="AW65" s="68"/>
      <c r="AX65" s="68"/>
      <c r="AY65" s="68"/>
      <c r="AZ65" s="68"/>
      <c r="BA65" s="68"/>
      <c r="BB65" s="68"/>
      <c r="BC65" s="68">
        <v>2</v>
      </c>
      <c r="BD65" s="67" t="str">
        <f>REPLACE(INDEX(GroupVertices[Group],MATCH(Edges37[[#This Row],[Vertex 1]],GroupVertices[Vertex],0)),1,1,"")</f>
        <v>1</v>
      </c>
      <c r="BE65" s="67" t="str">
        <f>REPLACE(INDEX(GroupVertices[Group],MATCH(Edges37[[#This Row],[Vertex 2]],GroupVertices[Vertex],0)),1,1,"")</f>
        <v>1</v>
      </c>
      <c r="BF65" s="49">
        <v>2</v>
      </c>
      <c r="BG65" s="50">
        <v>4</v>
      </c>
      <c r="BH65" s="49">
        <v>0</v>
      </c>
      <c r="BI65" s="50">
        <v>0</v>
      </c>
      <c r="BJ65" s="49">
        <v>0</v>
      </c>
      <c r="BK65" s="50">
        <v>0</v>
      </c>
      <c r="BL65" s="49">
        <v>48</v>
      </c>
      <c r="BM65" s="50">
        <v>96</v>
      </c>
      <c r="BN65" s="49">
        <v>50</v>
      </c>
    </row>
    <row r="66" spans="1:66" ht="15">
      <c r="A66" s="66" t="s">
        <v>600</v>
      </c>
      <c r="B66" s="66" t="s">
        <v>629</v>
      </c>
      <c r="C66" s="84"/>
      <c r="D66" s="94"/>
      <c r="E66" s="84"/>
      <c r="F66" s="96"/>
      <c r="G66" s="84"/>
      <c r="H66" s="82"/>
      <c r="I66" s="97"/>
      <c r="J66" s="97"/>
      <c r="K66" s="35" t="s">
        <v>65</v>
      </c>
      <c r="L66" s="98">
        <v>78</v>
      </c>
      <c r="M66" s="98"/>
      <c r="N66" s="99"/>
      <c r="O66" s="68" t="s">
        <v>262</v>
      </c>
      <c r="P66" s="70">
        <v>44697.16113425926</v>
      </c>
      <c r="Q66" s="68" t="s">
        <v>672</v>
      </c>
      <c r="R66" s="68"/>
      <c r="S66" s="68"/>
      <c r="T66" s="68"/>
      <c r="U66" s="68"/>
      <c r="V66" s="72" t="str">
        <f>HYPERLINK("https://pbs.twimg.com/profile_images/1413381251558346753/rTUSMAkL_normal.jpg")</f>
        <v>https://pbs.twimg.com/profile_images/1413381251558346753/rTUSMAkL_normal.jpg</v>
      </c>
      <c r="W66" s="70">
        <v>44697.16113425926</v>
      </c>
      <c r="X66" s="75">
        <v>44697</v>
      </c>
      <c r="Y66" s="73" t="s">
        <v>785</v>
      </c>
      <c r="Z66" s="72" t="str">
        <f>HYPERLINK("https://twitter.com/egmanash/status/1526047798105321472")</f>
        <v>https://twitter.com/egmanash/status/1526047798105321472</v>
      </c>
      <c r="AA66" s="68"/>
      <c r="AB66" s="68"/>
      <c r="AC66" s="73" t="s">
        <v>888</v>
      </c>
      <c r="AD66" s="68"/>
      <c r="AE66" s="68" t="b">
        <v>0</v>
      </c>
      <c r="AF66" s="68">
        <v>0</v>
      </c>
      <c r="AG66" s="73" t="s">
        <v>282</v>
      </c>
      <c r="AH66" s="68" t="b">
        <v>0</v>
      </c>
      <c r="AI66" s="68" t="s">
        <v>283</v>
      </c>
      <c r="AJ66" s="68"/>
      <c r="AK66" s="73" t="s">
        <v>282</v>
      </c>
      <c r="AL66" s="68" t="b">
        <v>0</v>
      </c>
      <c r="AM66" s="68">
        <v>13</v>
      </c>
      <c r="AN66" s="73" t="s">
        <v>920</v>
      </c>
      <c r="AO66" s="73" t="s">
        <v>284</v>
      </c>
      <c r="AP66" s="68" t="b">
        <v>0</v>
      </c>
      <c r="AQ66" s="73" t="s">
        <v>920</v>
      </c>
      <c r="AR66" s="68" t="s">
        <v>218</v>
      </c>
      <c r="AS66" s="68">
        <v>0</v>
      </c>
      <c r="AT66" s="68">
        <v>0</v>
      </c>
      <c r="AU66" s="68"/>
      <c r="AV66" s="68"/>
      <c r="AW66" s="68"/>
      <c r="AX66" s="68"/>
      <c r="AY66" s="68"/>
      <c r="AZ66" s="68"/>
      <c r="BA66" s="68"/>
      <c r="BB66" s="68"/>
      <c r="BC66" s="68">
        <v>1</v>
      </c>
      <c r="BD66" s="67" t="str">
        <f>REPLACE(INDEX(GroupVertices[Group],MATCH(Edges37[[#This Row],[Vertex 1]],GroupVertices[Vertex],0)),1,1,"")</f>
        <v>1</v>
      </c>
      <c r="BE66" s="67" t="str">
        <f>REPLACE(INDEX(GroupVertices[Group],MATCH(Edges37[[#This Row],[Vertex 2]],GroupVertices[Vertex],0)),1,1,"")</f>
        <v>1</v>
      </c>
      <c r="BF66" s="49">
        <v>2</v>
      </c>
      <c r="BG66" s="50">
        <v>4</v>
      </c>
      <c r="BH66" s="49">
        <v>0</v>
      </c>
      <c r="BI66" s="50">
        <v>0</v>
      </c>
      <c r="BJ66" s="49">
        <v>0</v>
      </c>
      <c r="BK66" s="50">
        <v>0</v>
      </c>
      <c r="BL66" s="49">
        <v>48</v>
      </c>
      <c r="BM66" s="50">
        <v>96</v>
      </c>
      <c r="BN66" s="49">
        <v>50</v>
      </c>
    </row>
    <row r="67" spans="1:66" ht="15">
      <c r="A67" s="66" t="s">
        <v>601</v>
      </c>
      <c r="B67" s="66" t="s">
        <v>601</v>
      </c>
      <c r="C67" s="84"/>
      <c r="D67" s="94"/>
      <c r="E67" s="84"/>
      <c r="F67" s="96"/>
      <c r="G67" s="84"/>
      <c r="H67" s="82"/>
      <c r="I67" s="97"/>
      <c r="J67" s="97"/>
      <c r="K67" s="35" t="s">
        <v>65</v>
      </c>
      <c r="L67" s="98">
        <v>79</v>
      </c>
      <c r="M67" s="98"/>
      <c r="N67" s="99"/>
      <c r="O67" s="68" t="s">
        <v>218</v>
      </c>
      <c r="P67" s="70">
        <v>44697.16636574074</v>
      </c>
      <c r="Q67" s="68" t="s">
        <v>677</v>
      </c>
      <c r="R67" s="72" t="str">
        <f>HYPERLINK("https://www.stuff.co.nz/environment/climate-news/128657390/emission-reduction-plan-govts-100km-commitment-to-safe-cycling-unambitious.html?utm_source=dlvr.it&amp;utm_medium=twitter")</f>
        <v>https://www.stuff.co.nz/environment/climate-news/128657390/emission-reduction-plan-govts-100km-commitment-to-safe-cycling-unambitious.html?utm_source=dlvr.it&amp;utm_medium=twitter</v>
      </c>
      <c r="S67" s="68" t="s">
        <v>269</v>
      </c>
      <c r="T67" s="68"/>
      <c r="U67" s="68"/>
      <c r="V67" s="72" t="str">
        <f>HYPERLINK("https://pbs.twimg.com/profile_images/740647118595969024/ZybR2s82_normal.jpg")</f>
        <v>https://pbs.twimg.com/profile_images/740647118595969024/ZybR2s82_normal.jpg</v>
      </c>
      <c r="W67" s="70">
        <v>44697.16636574074</v>
      </c>
      <c r="X67" s="75">
        <v>44697</v>
      </c>
      <c r="Y67" s="73" t="s">
        <v>786</v>
      </c>
      <c r="Z67" s="72" t="str">
        <f>HYPERLINK("https://twitter.com/stuffauckland/status/1526049695054778368")</f>
        <v>https://twitter.com/stuffauckland/status/1526049695054778368</v>
      </c>
      <c r="AA67" s="68"/>
      <c r="AB67" s="68"/>
      <c r="AC67" s="73" t="s">
        <v>889</v>
      </c>
      <c r="AD67" s="68"/>
      <c r="AE67" s="68" t="b">
        <v>0</v>
      </c>
      <c r="AF67" s="68">
        <v>2</v>
      </c>
      <c r="AG67" s="73" t="s">
        <v>282</v>
      </c>
      <c r="AH67" s="68" t="b">
        <v>0</v>
      </c>
      <c r="AI67" s="68" t="s">
        <v>283</v>
      </c>
      <c r="AJ67" s="68"/>
      <c r="AK67" s="73" t="s">
        <v>282</v>
      </c>
      <c r="AL67" s="68" t="b">
        <v>0</v>
      </c>
      <c r="AM67" s="68">
        <v>0</v>
      </c>
      <c r="AN67" s="73" t="s">
        <v>282</v>
      </c>
      <c r="AO67" s="73" t="s">
        <v>949</v>
      </c>
      <c r="AP67" s="68" t="b">
        <v>0</v>
      </c>
      <c r="AQ67" s="73" t="s">
        <v>889</v>
      </c>
      <c r="AR67" s="68" t="s">
        <v>218</v>
      </c>
      <c r="AS67" s="68">
        <v>0</v>
      </c>
      <c r="AT67" s="68">
        <v>0</v>
      </c>
      <c r="AU67" s="68"/>
      <c r="AV67" s="68"/>
      <c r="AW67" s="68"/>
      <c r="AX67" s="68"/>
      <c r="AY67" s="68"/>
      <c r="AZ67" s="68"/>
      <c r="BA67" s="68"/>
      <c r="BB67" s="68"/>
      <c r="BC67" s="68">
        <v>1</v>
      </c>
      <c r="BD67" s="67" t="str">
        <f>REPLACE(INDEX(GroupVertices[Group],MATCH(Edges37[[#This Row],[Vertex 1]],GroupVertices[Vertex],0)),1,1,"")</f>
        <v>2</v>
      </c>
      <c r="BE67" s="67" t="str">
        <f>REPLACE(INDEX(GroupVertices[Group],MATCH(Edges37[[#This Row],[Vertex 2]],GroupVertices[Vertex],0)),1,1,"")</f>
        <v>2</v>
      </c>
      <c r="BF67" s="49">
        <v>1</v>
      </c>
      <c r="BG67" s="50">
        <v>5.555555555555555</v>
      </c>
      <c r="BH67" s="49">
        <v>0</v>
      </c>
      <c r="BI67" s="50">
        <v>0</v>
      </c>
      <c r="BJ67" s="49">
        <v>0</v>
      </c>
      <c r="BK67" s="50">
        <v>0</v>
      </c>
      <c r="BL67" s="49">
        <v>17</v>
      </c>
      <c r="BM67" s="50">
        <v>94.44444444444444</v>
      </c>
      <c r="BN67" s="49">
        <v>18</v>
      </c>
    </row>
    <row r="68" spans="1:66" ht="15">
      <c r="A68" s="66" t="s">
        <v>602</v>
      </c>
      <c r="B68" s="66" t="s">
        <v>602</v>
      </c>
      <c r="C68" s="84"/>
      <c r="D68" s="94"/>
      <c r="E68" s="84"/>
      <c r="F68" s="96"/>
      <c r="G68" s="84"/>
      <c r="H68" s="82"/>
      <c r="I68" s="97"/>
      <c r="J68" s="97"/>
      <c r="K68" s="35" t="s">
        <v>65</v>
      </c>
      <c r="L68" s="98">
        <v>80</v>
      </c>
      <c r="M68" s="98"/>
      <c r="N68" s="99"/>
      <c r="O68" s="68" t="s">
        <v>218</v>
      </c>
      <c r="P68" s="70">
        <v>44697.191412037035</v>
      </c>
      <c r="Q68" s="68" t="s">
        <v>678</v>
      </c>
      <c r="R68" s="72" t="str">
        <f>HYPERLINK("https://environment.govt.nz/assets/publications/Aotearoa-New-Zealands-first-emissions-reduction-plan.pdf")</f>
        <v>https://environment.govt.nz/assets/publications/Aotearoa-New-Zealands-first-emissions-reduction-plan.pdf</v>
      </c>
      <c r="S68" s="68" t="s">
        <v>703</v>
      </c>
      <c r="T68" s="68"/>
      <c r="U68" s="68"/>
      <c r="V68" s="72" t="str">
        <f>HYPERLINK("https://pbs.twimg.com/profile_images/1278549685838344195/WJbDOFo8_normal.jpg")</f>
        <v>https://pbs.twimg.com/profile_images/1278549685838344195/WJbDOFo8_normal.jpg</v>
      </c>
      <c r="W68" s="70">
        <v>44697.191412037035</v>
      </c>
      <c r="X68" s="75">
        <v>44697</v>
      </c>
      <c r="Y68" s="73" t="s">
        <v>787</v>
      </c>
      <c r="Z68" s="72" t="str">
        <f>HYPERLINK("https://twitter.com/wsmith01984/status/1526058772975587328")</f>
        <v>https://twitter.com/wsmith01984/status/1526058772975587328</v>
      </c>
      <c r="AA68" s="68"/>
      <c r="AB68" s="68"/>
      <c r="AC68" s="73" t="s">
        <v>890</v>
      </c>
      <c r="AD68" s="68"/>
      <c r="AE68" s="68" t="b">
        <v>0</v>
      </c>
      <c r="AF68" s="68">
        <v>4</v>
      </c>
      <c r="AG68" s="73" t="s">
        <v>282</v>
      </c>
      <c r="AH68" s="68" t="b">
        <v>0</v>
      </c>
      <c r="AI68" s="68" t="s">
        <v>283</v>
      </c>
      <c r="AJ68" s="68"/>
      <c r="AK68" s="73" t="s">
        <v>282</v>
      </c>
      <c r="AL68" s="68" t="b">
        <v>0</v>
      </c>
      <c r="AM68" s="68">
        <v>0</v>
      </c>
      <c r="AN68" s="73" t="s">
        <v>282</v>
      </c>
      <c r="AO68" s="73" t="s">
        <v>285</v>
      </c>
      <c r="AP68" s="68" t="b">
        <v>0</v>
      </c>
      <c r="AQ68" s="73" t="s">
        <v>890</v>
      </c>
      <c r="AR68" s="68" t="s">
        <v>218</v>
      </c>
      <c r="AS68" s="68">
        <v>0</v>
      </c>
      <c r="AT68" s="68">
        <v>0</v>
      </c>
      <c r="AU68" s="68"/>
      <c r="AV68" s="68"/>
      <c r="AW68" s="68"/>
      <c r="AX68" s="68"/>
      <c r="AY68" s="68"/>
      <c r="AZ68" s="68"/>
      <c r="BA68" s="68"/>
      <c r="BB68" s="68"/>
      <c r="BC68" s="68">
        <v>1</v>
      </c>
      <c r="BD68" s="67" t="str">
        <f>REPLACE(INDEX(GroupVertices[Group],MATCH(Edges37[[#This Row],[Vertex 1]],GroupVertices[Vertex],0)),1,1,"")</f>
        <v>2</v>
      </c>
      <c r="BE68" s="67" t="str">
        <f>REPLACE(INDEX(GroupVertices[Group],MATCH(Edges37[[#This Row],[Vertex 2]],GroupVertices[Vertex],0)),1,1,"")</f>
        <v>2</v>
      </c>
      <c r="BF68" s="49">
        <v>1</v>
      </c>
      <c r="BG68" s="50">
        <v>3.3333333333333335</v>
      </c>
      <c r="BH68" s="49">
        <v>1</v>
      </c>
      <c r="BI68" s="50">
        <v>3.3333333333333335</v>
      </c>
      <c r="BJ68" s="49">
        <v>0</v>
      </c>
      <c r="BK68" s="50">
        <v>0</v>
      </c>
      <c r="BL68" s="49">
        <v>28</v>
      </c>
      <c r="BM68" s="50">
        <v>93.33333333333333</v>
      </c>
      <c r="BN68" s="49">
        <v>30</v>
      </c>
    </row>
    <row r="69" spans="1:66" ht="15">
      <c r="A69" s="66" t="s">
        <v>603</v>
      </c>
      <c r="B69" s="66" t="s">
        <v>642</v>
      </c>
      <c r="C69" s="84"/>
      <c r="D69" s="94"/>
      <c r="E69" s="84"/>
      <c r="F69" s="96"/>
      <c r="G69" s="84"/>
      <c r="H69" s="82"/>
      <c r="I69" s="97"/>
      <c r="J69" s="97"/>
      <c r="K69" s="35" t="s">
        <v>65</v>
      </c>
      <c r="L69" s="98">
        <v>81</v>
      </c>
      <c r="M69" s="98"/>
      <c r="N69" s="99"/>
      <c r="O69" s="68" t="s">
        <v>263</v>
      </c>
      <c r="P69" s="70">
        <v>44696.822175925925</v>
      </c>
      <c r="Q69" s="68" t="s">
        <v>668</v>
      </c>
      <c r="R69" s="68"/>
      <c r="S69" s="68"/>
      <c r="T69" s="73" t="s">
        <v>713</v>
      </c>
      <c r="U69" s="72" t="str">
        <f>HYPERLINK("https://pbs.twimg.com/media/FS0sq1YaAAAqw4o.jpg")</f>
        <v>https://pbs.twimg.com/media/FS0sq1YaAAAqw4o.jpg</v>
      </c>
      <c r="V69" s="72" t="str">
        <f>HYPERLINK("https://pbs.twimg.com/media/FS0sq1YaAAAqw4o.jpg")</f>
        <v>https://pbs.twimg.com/media/FS0sq1YaAAAqw4o.jpg</v>
      </c>
      <c r="W69" s="70">
        <v>44696.822175925925</v>
      </c>
      <c r="X69" s="75">
        <v>44696</v>
      </c>
      <c r="Y69" s="73" t="s">
        <v>788</v>
      </c>
      <c r="Z69" s="72" t="str">
        <f>HYPERLINK("https://twitter.com/patrickmorgan/status/1525924965857787904")</f>
        <v>https://twitter.com/patrickmorgan/status/1525924965857787904</v>
      </c>
      <c r="AA69" s="68"/>
      <c r="AB69" s="68"/>
      <c r="AC69" s="73" t="s">
        <v>891</v>
      </c>
      <c r="AD69" s="68"/>
      <c r="AE69" s="68" t="b">
        <v>0</v>
      </c>
      <c r="AF69" s="68">
        <v>9</v>
      </c>
      <c r="AG69" s="73" t="s">
        <v>282</v>
      </c>
      <c r="AH69" s="68" t="b">
        <v>0</v>
      </c>
      <c r="AI69" s="68" t="s">
        <v>283</v>
      </c>
      <c r="AJ69" s="68"/>
      <c r="AK69" s="73" t="s">
        <v>282</v>
      </c>
      <c r="AL69" s="68" t="b">
        <v>0</v>
      </c>
      <c r="AM69" s="68">
        <v>3</v>
      </c>
      <c r="AN69" s="73" t="s">
        <v>282</v>
      </c>
      <c r="AO69" s="73" t="s">
        <v>947</v>
      </c>
      <c r="AP69" s="68" t="b">
        <v>0</v>
      </c>
      <c r="AQ69" s="73" t="s">
        <v>891</v>
      </c>
      <c r="AR69" s="68" t="s">
        <v>218</v>
      </c>
      <c r="AS69" s="68">
        <v>0</v>
      </c>
      <c r="AT69" s="68">
        <v>0</v>
      </c>
      <c r="AU69" s="68"/>
      <c r="AV69" s="68"/>
      <c r="AW69" s="68"/>
      <c r="AX69" s="68"/>
      <c r="AY69" s="68"/>
      <c r="AZ69" s="68"/>
      <c r="BA69" s="68"/>
      <c r="BB69" s="68"/>
      <c r="BC69" s="68">
        <v>2</v>
      </c>
      <c r="BD69" s="67" t="str">
        <f>REPLACE(INDEX(GroupVertices[Group],MATCH(Edges37[[#This Row],[Vertex 1]],GroupVertices[Vertex],0)),1,1,"")</f>
        <v>4</v>
      </c>
      <c r="BE69" s="67" t="str">
        <f>REPLACE(INDEX(GroupVertices[Group],MATCH(Edges37[[#This Row],[Vertex 2]],GroupVertices[Vertex],0)),1,1,"")</f>
        <v>4</v>
      </c>
      <c r="BF69" s="49">
        <v>4</v>
      </c>
      <c r="BG69" s="50">
        <v>40</v>
      </c>
      <c r="BH69" s="49">
        <v>0</v>
      </c>
      <c r="BI69" s="50">
        <v>0</v>
      </c>
      <c r="BJ69" s="49">
        <v>0</v>
      </c>
      <c r="BK69" s="50">
        <v>0</v>
      </c>
      <c r="BL69" s="49">
        <v>6</v>
      </c>
      <c r="BM69" s="50">
        <v>60</v>
      </c>
      <c r="BN69" s="49">
        <v>10</v>
      </c>
    </row>
    <row r="70" spans="1:66" ht="15">
      <c r="A70" s="66" t="s">
        <v>603</v>
      </c>
      <c r="B70" s="66" t="s">
        <v>642</v>
      </c>
      <c r="C70" s="84"/>
      <c r="D70" s="94"/>
      <c r="E70" s="84"/>
      <c r="F70" s="96"/>
      <c r="G70" s="84"/>
      <c r="H70" s="82"/>
      <c r="I70" s="97"/>
      <c r="J70" s="97"/>
      <c r="K70" s="35" t="s">
        <v>65</v>
      </c>
      <c r="L70" s="98">
        <v>82</v>
      </c>
      <c r="M70" s="98"/>
      <c r="N70" s="99"/>
      <c r="O70" s="68" t="s">
        <v>263</v>
      </c>
      <c r="P70" s="70">
        <v>44697.19263888889</v>
      </c>
      <c r="Q70" s="68" t="s">
        <v>679</v>
      </c>
      <c r="R70" s="72" t="str">
        <f>HYPERLINK("https://twitter.com/CriticalMassAKL/status/1526028961393745921")</f>
        <v>https://twitter.com/CriticalMassAKL/status/1526028961393745921</v>
      </c>
      <c r="S70" s="68" t="s">
        <v>702</v>
      </c>
      <c r="T70" s="68"/>
      <c r="U70" s="68"/>
      <c r="V70" s="72" t="str">
        <f>HYPERLINK("https://pbs.twimg.com/profile_images/1346958814248017924/D99DDQoK_normal.jpg")</f>
        <v>https://pbs.twimg.com/profile_images/1346958814248017924/D99DDQoK_normal.jpg</v>
      </c>
      <c r="W70" s="70">
        <v>44697.19263888889</v>
      </c>
      <c r="X70" s="75">
        <v>44697</v>
      </c>
      <c r="Y70" s="73" t="s">
        <v>789</v>
      </c>
      <c r="Z70" s="72" t="str">
        <f>HYPERLINK("https://twitter.com/patrickmorgan/status/1526059217471217666")</f>
        <v>https://twitter.com/patrickmorgan/status/1526059217471217666</v>
      </c>
      <c r="AA70" s="68"/>
      <c r="AB70" s="68"/>
      <c r="AC70" s="73" t="s">
        <v>892</v>
      </c>
      <c r="AD70" s="68"/>
      <c r="AE70" s="68" t="b">
        <v>0</v>
      </c>
      <c r="AF70" s="68">
        <v>5</v>
      </c>
      <c r="AG70" s="73" t="s">
        <v>282</v>
      </c>
      <c r="AH70" s="68" t="b">
        <v>1</v>
      </c>
      <c r="AI70" s="68" t="s">
        <v>283</v>
      </c>
      <c r="AJ70" s="68"/>
      <c r="AK70" s="73" t="s">
        <v>943</v>
      </c>
      <c r="AL70" s="68" t="b">
        <v>0</v>
      </c>
      <c r="AM70" s="68">
        <v>1</v>
      </c>
      <c r="AN70" s="73" t="s">
        <v>282</v>
      </c>
      <c r="AO70" s="73" t="s">
        <v>285</v>
      </c>
      <c r="AP70" s="68" t="b">
        <v>0</v>
      </c>
      <c r="AQ70" s="73" t="s">
        <v>892</v>
      </c>
      <c r="AR70" s="68" t="s">
        <v>218</v>
      </c>
      <c r="AS70" s="68">
        <v>0</v>
      </c>
      <c r="AT70" s="68">
        <v>0</v>
      </c>
      <c r="AU70" s="68"/>
      <c r="AV70" s="68"/>
      <c r="AW70" s="68"/>
      <c r="AX70" s="68"/>
      <c r="AY70" s="68"/>
      <c r="AZ70" s="68"/>
      <c r="BA70" s="68"/>
      <c r="BB70" s="68"/>
      <c r="BC70" s="68">
        <v>2</v>
      </c>
      <c r="BD70" s="67" t="str">
        <f>REPLACE(INDEX(GroupVertices[Group],MATCH(Edges37[[#This Row],[Vertex 1]],GroupVertices[Vertex],0)),1,1,"")</f>
        <v>4</v>
      </c>
      <c r="BE70" s="67" t="str">
        <f>REPLACE(INDEX(GroupVertices[Group],MATCH(Edges37[[#This Row],[Vertex 2]],GroupVertices[Vertex],0)),1,1,"")</f>
        <v>4</v>
      </c>
      <c r="BF70" s="49">
        <v>1</v>
      </c>
      <c r="BG70" s="50">
        <v>6.25</v>
      </c>
      <c r="BH70" s="49">
        <v>0</v>
      </c>
      <c r="BI70" s="50">
        <v>0</v>
      </c>
      <c r="BJ70" s="49">
        <v>0</v>
      </c>
      <c r="BK70" s="50">
        <v>0</v>
      </c>
      <c r="BL70" s="49">
        <v>15</v>
      </c>
      <c r="BM70" s="50">
        <v>93.75</v>
      </c>
      <c r="BN70" s="49">
        <v>16</v>
      </c>
    </row>
    <row r="71" spans="1:66" ht="15">
      <c r="A71" s="66" t="s">
        <v>604</v>
      </c>
      <c r="B71" s="66" t="s">
        <v>642</v>
      </c>
      <c r="C71" s="84"/>
      <c r="D71" s="94"/>
      <c r="E71" s="84"/>
      <c r="F71" s="96"/>
      <c r="G71" s="84"/>
      <c r="H71" s="82"/>
      <c r="I71" s="97"/>
      <c r="J71" s="97"/>
      <c r="K71" s="35" t="s">
        <v>65</v>
      </c>
      <c r="L71" s="98">
        <v>83</v>
      </c>
      <c r="M71" s="98"/>
      <c r="N71" s="99"/>
      <c r="O71" s="68" t="s">
        <v>264</v>
      </c>
      <c r="P71" s="70">
        <v>44697.21693287037</v>
      </c>
      <c r="Q71" s="68" t="s">
        <v>679</v>
      </c>
      <c r="R71" s="72" t="str">
        <f>HYPERLINK("https://twitter.com/CriticalMassAKL/status/1526028961393745921")</f>
        <v>https://twitter.com/CriticalMassAKL/status/1526028961393745921</v>
      </c>
      <c r="S71" s="68" t="s">
        <v>702</v>
      </c>
      <c r="T71" s="68"/>
      <c r="U71" s="68"/>
      <c r="V71" s="72" t="str">
        <f>HYPERLINK("https://pbs.twimg.com/profile_images/929942240998260742/xXq1iDPw_normal.jpg")</f>
        <v>https://pbs.twimg.com/profile_images/929942240998260742/xXq1iDPw_normal.jpg</v>
      </c>
      <c r="W71" s="70">
        <v>44697.21693287037</v>
      </c>
      <c r="X71" s="75">
        <v>44697</v>
      </c>
      <c r="Y71" s="73" t="s">
        <v>790</v>
      </c>
      <c r="Z71" s="72" t="str">
        <f>HYPERLINK("https://twitter.com/timjonesbooks/status/1526068021194006528")</f>
        <v>https://twitter.com/timjonesbooks/status/1526068021194006528</v>
      </c>
      <c r="AA71" s="68"/>
      <c r="AB71" s="68"/>
      <c r="AC71" s="73" t="s">
        <v>893</v>
      </c>
      <c r="AD71" s="68"/>
      <c r="AE71" s="68" t="b">
        <v>0</v>
      </c>
      <c r="AF71" s="68">
        <v>0</v>
      </c>
      <c r="AG71" s="73" t="s">
        <v>282</v>
      </c>
      <c r="AH71" s="68" t="b">
        <v>1</v>
      </c>
      <c r="AI71" s="68" t="s">
        <v>283</v>
      </c>
      <c r="AJ71" s="68"/>
      <c r="AK71" s="73" t="s">
        <v>943</v>
      </c>
      <c r="AL71" s="68" t="b">
        <v>0</v>
      </c>
      <c r="AM71" s="68">
        <v>1</v>
      </c>
      <c r="AN71" s="73" t="s">
        <v>892</v>
      </c>
      <c r="AO71" s="73" t="s">
        <v>285</v>
      </c>
      <c r="AP71" s="68" t="b">
        <v>0</v>
      </c>
      <c r="AQ71" s="73" t="s">
        <v>892</v>
      </c>
      <c r="AR71" s="68" t="s">
        <v>218</v>
      </c>
      <c r="AS71" s="68">
        <v>0</v>
      </c>
      <c r="AT71" s="68">
        <v>0</v>
      </c>
      <c r="AU71" s="68"/>
      <c r="AV71" s="68"/>
      <c r="AW71" s="68"/>
      <c r="AX71" s="68"/>
      <c r="AY71" s="68"/>
      <c r="AZ71" s="68"/>
      <c r="BA71" s="68"/>
      <c r="BB71" s="68"/>
      <c r="BC71" s="68">
        <v>1</v>
      </c>
      <c r="BD71" s="67" t="str">
        <f>REPLACE(INDEX(GroupVertices[Group],MATCH(Edges37[[#This Row],[Vertex 1]],GroupVertices[Vertex],0)),1,1,"")</f>
        <v>4</v>
      </c>
      <c r="BE71" s="67" t="str">
        <f>REPLACE(INDEX(GroupVertices[Group],MATCH(Edges37[[#This Row],[Vertex 2]],GroupVertices[Vertex],0)),1,1,"")</f>
        <v>4</v>
      </c>
      <c r="BF71" s="49"/>
      <c r="BG71" s="50"/>
      <c r="BH71" s="49"/>
      <c r="BI71" s="50"/>
      <c r="BJ71" s="49"/>
      <c r="BK71" s="50"/>
      <c r="BL71" s="49"/>
      <c r="BM71" s="50"/>
      <c r="BN71" s="49"/>
    </row>
    <row r="72" spans="1:66" ht="15">
      <c r="A72" s="66" t="s">
        <v>605</v>
      </c>
      <c r="B72" s="66" t="s">
        <v>629</v>
      </c>
      <c r="C72" s="84"/>
      <c r="D72" s="94"/>
      <c r="E72" s="84"/>
      <c r="F72" s="96"/>
      <c r="G72" s="84"/>
      <c r="H72" s="82"/>
      <c r="I72" s="97"/>
      <c r="J72" s="97"/>
      <c r="K72" s="35" t="s">
        <v>65</v>
      </c>
      <c r="L72" s="98">
        <v>85</v>
      </c>
      <c r="M72" s="98"/>
      <c r="N72" s="99"/>
      <c r="O72" s="68" t="s">
        <v>262</v>
      </c>
      <c r="P72" s="70">
        <v>44697.24203703704</v>
      </c>
      <c r="Q72" s="68" t="s">
        <v>672</v>
      </c>
      <c r="R72" s="68"/>
      <c r="S72" s="68"/>
      <c r="T72" s="68"/>
      <c r="U72" s="68"/>
      <c r="V72" s="72" t="str">
        <f>HYPERLINK("https://pbs.twimg.com/profile_images/1340031061930045440/PWCfq1lN_normal.jpg")</f>
        <v>https://pbs.twimg.com/profile_images/1340031061930045440/PWCfq1lN_normal.jpg</v>
      </c>
      <c r="W72" s="70">
        <v>44697.24203703704</v>
      </c>
      <c r="X72" s="75">
        <v>44697</v>
      </c>
      <c r="Y72" s="73" t="s">
        <v>791</v>
      </c>
      <c r="Z72" s="72" t="str">
        <f>HYPERLINK("https://twitter.com/themblogger31/status/1526077116651311104")</f>
        <v>https://twitter.com/themblogger31/status/1526077116651311104</v>
      </c>
      <c r="AA72" s="68"/>
      <c r="AB72" s="68"/>
      <c r="AC72" s="73" t="s">
        <v>894</v>
      </c>
      <c r="AD72" s="68"/>
      <c r="AE72" s="68" t="b">
        <v>0</v>
      </c>
      <c r="AF72" s="68">
        <v>0</v>
      </c>
      <c r="AG72" s="73" t="s">
        <v>282</v>
      </c>
      <c r="AH72" s="68" t="b">
        <v>0</v>
      </c>
      <c r="AI72" s="68" t="s">
        <v>283</v>
      </c>
      <c r="AJ72" s="68"/>
      <c r="AK72" s="73" t="s">
        <v>282</v>
      </c>
      <c r="AL72" s="68" t="b">
        <v>0</v>
      </c>
      <c r="AM72" s="68">
        <v>13</v>
      </c>
      <c r="AN72" s="73" t="s">
        <v>920</v>
      </c>
      <c r="AO72" s="73" t="s">
        <v>947</v>
      </c>
      <c r="AP72" s="68" t="b">
        <v>0</v>
      </c>
      <c r="AQ72" s="73" t="s">
        <v>920</v>
      </c>
      <c r="AR72" s="68" t="s">
        <v>218</v>
      </c>
      <c r="AS72" s="68">
        <v>0</v>
      </c>
      <c r="AT72" s="68">
        <v>0</v>
      </c>
      <c r="AU72" s="68"/>
      <c r="AV72" s="68"/>
      <c r="AW72" s="68"/>
      <c r="AX72" s="68"/>
      <c r="AY72" s="68"/>
      <c r="AZ72" s="68"/>
      <c r="BA72" s="68"/>
      <c r="BB72" s="68"/>
      <c r="BC72" s="68">
        <v>1</v>
      </c>
      <c r="BD72" s="67" t="str">
        <f>REPLACE(INDEX(GroupVertices[Group],MATCH(Edges37[[#This Row],[Vertex 1]],GroupVertices[Vertex],0)),1,1,"")</f>
        <v>1</v>
      </c>
      <c r="BE72" s="67" t="str">
        <f>REPLACE(INDEX(GroupVertices[Group],MATCH(Edges37[[#This Row],[Vertex 2]],GroupVertices[Vertex],0)),1,1,"")</f>
        <v>1</v>
      </c>
      <c r="BF72" s="49">
        <v>2</v>
      </c>
      <c r="BG72" s="50">
        <v>4</v>
      </c>
      <c r="BH72" s="49">
        <v>0</v>
      </c>
      <c r="BI72" s="50">
        <v>0</v>
      </c>
      <c r="BJ72" s="49">
        <v>0</v>
      </c>
      <c r="BK72" s="50">
        <v>0</v>
      </c>
      <c r="BL72" s="49">
        <v>48</v>
      </c>
      <c r="BM72" s="50">
        <v>96</v>
      </c>
      <c r="BN72" s="49">
        <v>50</v>
      </c>
    </row>
    <row r="73" spans="1:66" ht="15">
      <c r="A73" s="66" t="s">
        <v>606</v>
      </c>
      <c r="B73" s="66" t="s">
        <v>606</v>
      </c>
      <c r="C73" s="84"/>
      <c r="D73" s="94"/>
      <c r="E73" s="84"/>
      <c r="F73" s="96"/>
      <c r="G73" s="84"/>
      <c r="H73" s="82"/>
      <c r="I73" s="97"/>
      <c r="J73" s="97"/>
      <c r="K73" s="35" t="s">
        <v>65</v>
      </c>
      <c r="L73" s="98">
        <v>86</v>
      </c>
      <c r="M73" s="98"/>
      <c r="N73" s="99"/>
      <c r="O73" s="68" t="s">
        <v>218</v>
      </c>
      <c r="P73" s="70">
        <v>44697.250185185185</v>
      </c>
      <c r="Q73" s="68" t="s">
        <v>680</v>
      </c>
      <c r="R73" s="68"/>
      <c r="S73" s="68"/>
      <c r="T73" s="68"/>
      <c r="U73" s="68"/>
      <c r="V73" s="72" t="str">
        <f>HYPERLINK("https://pbs.twimg.com/profile_images/1520994280911032320/_E9mvBGQ_normal.jpg")</f>
        <v>https://pbs.twimg.com/profile_images/1520994280911032320/_E9mvBGQ_normal.jpg</v>
      </c>
      <c r="W73" s="70">
        <v>44697.250185185185</v>
      </c>
      <c r="X73" s="75">
        <v>44697</v>
      </c>
      <c r="Y73" s="73" t="s">
        <v>792</v>
      </c>
      <c r="Z73" s="72" t="str">
        <f>HYPERLINK("https://twitter.com/anth0888/status/1526080070091444224")</f>
        <v>https://twitter.com/anth0888/status/1526080070091444224</v>
      </c>
      <c r="AA73" s="68"/>
      <c r="AB73" s="68"/>
      <c r="AC73" s="73" t="s">
        <v>895</v>
      </c>
      <c r="AD73" s="73" t="s">
        <v>932</v>
      </c>
      <c r="AE73" s="68" t="b">
        <v>0</v>
      </c>
      <c r="AF73" s="68">
        <v>0</v>
      </c>
      <c r="AG73" s="73" t="s">
        <v>938</v>
      </c>
      <c r="AH73" s="68" t="b">
        <v>0</v>
      </c>
      <c r="AI73" s="68" t="s">
        <v>283</v>
      </c>
      <c r="AJ73" s="68"/>
      <c r="AK73" s="73" t="s">
        <v>282</v>
      </c>
      <c r="AL73" s="68" t="b">
        <v>0</v>
      </c>
      <c r="AM73" s="68">
        <v>0</v>
      </c>
      <c r="AN73" s="73" t="s">
        <v>282</v>
      </c>
      <c r="AO73" s="73" t="s">
        <v>285</v>
      </c>
      <c r="AP73" s="68" t="b">
        <v>0</v>
      </c>
      <c r="AQ73" s="73" t="s">
        <v>932</v>
      </c>
      <c r="AR73" s="68" t="s">
        <v>218</v>
      </c>
      <c r="AS73" s="68">
        <v>0</v>
      </c>
      <c r="AT73" s="68">
        <v>0</v>
      </c>
      <c r="AU73" s="68"/>
      <c r="AV73" s="68"/>
      <c r="AW73" s="68"/>
      <c r="AX73" s="68"/>
      <c r="AY73" s="68"/>
      <c r="AZ73" s="68"/>
      <c r="BA73" s="68"/>
      <c r="BB73" s="68"/>
      <c r="BC73" s="68">
        <v>1</v>
      </c>
      <c r="BD73" s="67" t="str">
        <f>REPLACE(INDEX(GroupVertices[Group],MATCH(Edges37[[#This Row],[Vertex 1]],GroupVertices[Vertex],0)),1,1,"")</f>
        <v>2</v>
      </c>
      <c r="BE73" s="67" t="str">
        <f>REPLACE(INDEX(GroupVertices[Group],MATCH(Edges37[[#This Row],[Vertex 2]],GroupVertices[Vertex],0)),1,1,"")</f>
        <v>2</v>
      </c>
      <c r="BF73" s="49">
        <v>2</v>
      </c>
      <c r="BG73" s="50">
        <v>4.878048780487805</v>
      </c>
      <c r="BH73" s="49">
        <v>0</v>
      </c>
      <c r="BI73" s="50">
        <v>0</v>
      </c>
      <c r="BJ73" s="49">
        <v>0</v>
      </c>
      <c r="BK73" s="50">
        <v>0</v>
      </c>
      <c r="BL73" s="49">
        <v>39</v>
      </c>
      <c r="BM73" s="50">
        <v>95.1219512195122</v>
      </c>
      <c r="BN73" s="49">
        <v>41</v>
      </c>
    </row>
    <row r="74" spans="1:66" ht="15">
      <c r="A74" s="66" t="s">
        <v>607</v>
      </c>
      <c r="B74" s="66" t="s">
        <v>607</v>
      </c>
      <c r="C74" s="84"/>
      <c r="D74" s="94"/>
      <c r="E74" s="84"/>
      <c r="F74" s="96"/>
      <c r="G74" s="84"/>
      <c r="H74" s="82"/>
      <c r="I74" s="97"/>
      <c r="J74" s="97"/>
      <c r="K74" s="35" t="s">
        <v>65</v>
      </c>
      <c r="L74" s="98">
        <v>87</v>
      </c>
      <c r="M74" s="98"/>
      <c r="N74" s="99"/>
      <c r="O74" s="68" t="s">
        <v>218</v>
      </c>
      <c r="P74" s="70">
        <v>44697.285520833335</v>
      </c>
      <c r="Q74" s="68" t="s">
        <v>681</v>
      </c>
      <c r="R74" s="72" t="str">
        <f>HYPERLINK("https://twitter.com/nashthomas/status/1526091823403241472")</f>
        <v>https://twitter.com/nashthomas/status/1526091823403241472</v>
      </c>
      <c r="S74" s="68" t="s">
        <v>702</v>
      </c>
      <c r="T74" s="68"/>
      <c r="U74" s="68"/>
      <c r="V74" s="72" t="str">
        <f>HYPERLINK("https://pbs.twimg.com/profile_images/1033290359105761285/T2Db8LvD_normal.jpg")</f>
        <v>https://pbs.twimg.com/profile_images/1033290359105761285/T2Db8LvD_normal.jpg</v>
      </c>
      <c r="W74" s="70">
        <v>44697.285520833335</v>
      </c>
      <c r="X74" s="75">
        <v>44697</v>
      </c>
      <c r="Y74" s="73" t="s">
        <v>793</v>
      </c>
      <c r="Z74" s="72" t="str">
        <f>HYPERLINK("https://twitter.com/jdeheij/status/1526092874445914112")</f>
        <v>https://twitter.com/jdeheij/status/1526092874445914112</v>
      </c>
      <c r="AA74" s="68"/>
      <c r="AB74" s="68"/>
      <c r="AC74" s="73" t="s">
        <v>896</v>
      </c>
      <c r="AD74" s="68"/>
      <c r="AE74" s="68" t="b">
        <v>0</v>
      </c>
      <c r="AF74" s="68">
        <v>3</v>
      </c>
      <c r="AG74" s="73" t="s">
        <v>282</v>
      </c>
      <c r="AH74" s="68" t="b">
        <v>1</v>
      </c>
      <c r="AI74" s="68" t="s">
        <v>283</v>
      </c>
      <c r="AJ74" s="68"/>
      <c r="AK74" s="73" t="s">
        <v>944</v>
      </c>
      <c r="AL74" s="68" t="b">
        <v>0</v>
      </c>
      <c r="AM74" s="68">
        <v>0</v>
      </c>
      <c r="AN74" s="73" t="s">
        <v>282</v>
      </c>
      <c r="AO74" s="73" t="s">
        <v>955</v>
      </c>
      <c r="AP74" s="68" t="b">
        <v>0</v>
      </c>
      <c r="AQ74" s="73" t="s">
        <v>896</v>
      </c>
      <c r="AR74" s="68" t="s">
        <v>218</v>
      </c>
      <c r="AS74" s="68">
        <v>0</v>
      </c>
      <c r="AT74" s="68">
        <v>0</v>
      </c>
      <c r="AU74" s="68"/>
      <c r="AV74" s="68"/>
      <c r="AW74" s="68"/>
      <c r="AX74" s="68"/>
      <c r="AY74" s="68"/>
      <c r="AZ74" s="68"/>
      <c r="BA74" s="68"/>
      <c r="BB74" s="68"/>
      <c r="BC74" s="68">
        <v>1</v>
      </c>
      <c r="BD74" s="67" t="str">
        <f>REPLACE(INDEX(GroupVertices[Group],MATCH(Edges37[[#This Row],[Vertex 1]],GroupVertices[Vertex],0)),1,1,"")</f>
        <v>2</v>
      </c>
      <c r="BE74" s="67" t="str">
        <f>REPLACE(INDEX(GroupVertices[Group],MATCH(Edges37[[#This Row],[Vertex 2]],GroupVertices[Vertex],0)),1,1,"")</f>
        <v>2</v>
      </c>
      <c r="BF74" s="49">
        <v>2</v>
      </c>
      <c r="BG74" s="50">
        <v>14.285714285714286</v>
      </c>
      <c r="BH74" s="49">
        <v>0</v>
      </c>
      <c r="BI74" s="50">
        <v>0</v>
      </c>
      <c r="BJ74" s="49">
        <v>0</v>
      </c>
      <c r="BK74" s="50">
        <v>0</v>
      </c>
      <c r="BL74" s="49">
        <v>12</v>
      </c>
      <c r="BM74" s="50">
        <v>85.71428571428571</v>
      </c>
      <c r="BN74" s="49">
        <v>14</v>
      </c>
    </row>
    <row r="75" spans="1:66" ht="15">
      <c r="A75" s="66" t="s">
        <v>608</v>
      </c>
      <c r="B75" s="66" t="s">
        <v>629</v>
      </c>
      <c r="C75" s="84"/>
      <c r="D75" s="94"/>
      <c r="E75" s="84"/>
      <c r="F75" s="96"/>
      <c r="G75" s="84"/>
      <c r="H75" s="82"/>
      <c r="I75" s="97"/>
      <c r="J75" s="97"/>
      <c r="K75" s="35" t="s">
        <v>65</v>
      </c>
      <c r="L75" s="98">
        <v>88</v>
      </c>
      <c r="M75" s="98"/>
      <c r="N75" s="99"/>
      <c r="O75" s="68" t="s">
        <v>262</v>
      </c>
      <c r="P75" s="70">
        <v>44697.39130787037</v>
      </c>
      <c r="Q75" s="68" t="s">
        <v>672</v>
      </c>
      <c r="R75" s="68"/>
      <c r="S75" s="68"/>
      <c r="T75" s="68"/>
      <c r="U75" s="68"/>
      <c r="V75" s="72" t="str">
        <f>HYPERLINK("https://pbs.twimg.com/profile_images/1458308612086849537/rpBqsdH9_normal.jpg")</f>
        <v>https://pbs.twimg.com/profile_images/1458308612086849537/rpBqsdH9_normal.jpg</v>
      </c>
      <c r="W75" s="70">
        <v>44697.39130787037</v>
      </c>
      <c r="X75" s="75">
        <v>44697</v>
      </c>
      <c r="Y75" s="73" t="s">
        <v>794</v>
      </c>
      <c r="Z75" s="72" t="str">
        <f>HYPERLINK("https://twitter.com/jes_af/status/1526131210405449728")</f>
        <v>https://twitter.com/jes_af/status/1526131210405449728</v>
      </c>
      <c r="AA75" s="68"/>
      <c r="AB75" s="68"/>
      <c r="AC75" s="73" t="s">
        <v>897</v>
      </c>
      <c r="AD75" s="68"/>
      <c r="AE75" s="68" t="b">
        <v>0</v>
      </c>
      <c r="AF75" s="68">
        <v>0</v>
      </c>
      <c r="AG75" s="73" t="s">
        <v>282</v>
      </c>
      <c r="AH75" s="68" t="b">
        <v>0</v>
      </c>
      <c r="AI75" s="68" t="s">
        <v>283</v>
      </c>
      <c r="AJ75" s="68"/>
      <c r="AK75" s="73" t="s">
        <v>282</v>
      </c>
      <c r="AL75" s="68" t="b">
        <v>0</v>
      </c>
      <c r="AM75" s="68">
        <v>13</v>
      </c>
      <c r="AN75" s="73" t="s">
        <v>920</v>
      </c>
      <c r="AO75" s="73" t="s">
        <v>284</v>
      </c>
      <c r="AP75" s="68" t="b">
        <v>0</v>
      </c>
      <c r="AQ75" s="73" t="s">
        <v>920</v>
      </c>
      <c r="AR75" s="68" t="s">
        <v>218</v>
      </c>
      <c r="AS75" s="68">
        <v>0</v>
      </c>
      <c r="AT75" s="68">
        <v>0</v>
      </c>
      <c r="AU75" s="68"/>
      <c r="AV75" s="68"/>
      <c r="AW75" s="68"/>
      <c r="AX75" s="68"/>
      <c r="AY75" s="68"/>
      <c r="AZ75" s="68"/>
      <c r="BA75" s="68"/>
      <c r="BB75" s="68"/>
      <c r="BC75" s="68">
        <v>1</v>
      </c>
      <c r="BD75" s="67" t="str">
        <f>REPLACE(INDEX(GroupVertices[Group],MATCH(Edges37[[#This Row],[Vertex 1]],GroupVertices[Vertex],0)),1,1,"")</f>
        <v>1</v>
      </c>
      <c r="BE75" s="67" t="str">
        <f>REPLACE(INDEX(GroupVertices[Group],MATCH(Edges37[[#This Row],[Vertex 2]],GroupVertices[Vertex],0)),1,1,"")</f>
        <v>1</v>
      </c>
      <c r="BF75" s="49">
        <v>2</v>
      </c>
      <c r="BG75" s="50">
        <v>4</v>
      </c>
      <c r="BH75" s="49">
        <v>0</v>
      </c>
      <c r="BI75" s="50">
        <v>0</v>
      </c>
      <c r="BJ75" s="49">
        <v>0</v>
      </c>
      <c r="BK75" s="50">
        <v>0</v>
      </c>
      <c r="BL75" s="49">
        <v>48</v>
      </c>
      <c r="BM75" s="50">
        <v>96</v>
      </c>
      <c r="BN75" s="49">
        <v>50</v>
      </c>
    </row>
    <row r="76" spans="1:66" ht="15">
      <c r="A76" s="66" t="s">
        <v>609</v>
      </c>
      <c r="B76" s="66" t="s">
        <v>644</v>
      </c>
      <c r="C76" s="84"/>
      <c r="D76" s="94"/>
      <c r="E76" s="84"/>
      <c r="F76" s="96"/>
      <c r="G76" s="84"/>
      <c r="H76" s="82"/>
      <c r="I76" s="97"/>
      <c r="J76" s="97"/>
      <c r="K76" s="35" t="s">
        <v>65</v>
      </c>
      <c r="L76" s="98">
        <v>89</v>
      </c>
      <c r="M76" s="98"/>
      <c r="N76" s="99"/>
      <c r="O76" s="68" t="s">
        <v>263</v>
      </c>
      <c r="P76" s="70">
        <v>44697.418125</v>
      </c>
      <c r="Q76" s="68" t="s">
        <v>682</v>
      </c>
      <c r="R76" s="72" t="str">
        <f>HYPERLINK("https://twitter.com/GeoHealthLab/status/1526112420481351680")</f>
        <v>https://twitter.com/GeoHealthLab/status/1526112420481351680</v>
      </c>
      <c r="S76" s="68" t="s">
        <v>702</v>
      </c>
      <c r="T76" s="68"/>
      <c r="U76" s="68"/>
      <c r="V76" s="72" t="str">
        <f>HYPERLINK("https://pbs.twimg.com/profile_images/1447317507736424448/XRomCFa1_normal.jpg")</f>
        <v>https://pbs.twimg.com/profile_images/1447317507736424448/XRomCFa1_normal.jpg</v>
      </c>
      <c r="W76" s="70">
        <v>44697.418125</v>
      </c>
      <c r="X76" s="75">
        <v>44697</v>
      </c>
      <c r="Y76" s="73" t="s">
        <v>795</v>
      </c>
      <c r="Z76" s="72" t="str">
        <f>HYPERLINK("https://twitter.com/lindseyconrow/status/1526140929274355712")</f>
        <v>https://twitter.com/lindseyconrow/status/1526140929274355712</v>
      </c>
      <c r="AA76" s="68"/>
      <c r="AB76" s="68"/>
      <c r="AC76" s="73" t="s">
        <v>898</v>
      </c>
      <c r="AD76" s="68"/>
      <c r="AE76" s="68" t="b">
        <v>0</v>
      </c>
      <c r="AF76" s="68">
        <v>9</v>
      </c>
      <c r="AG76" s="73" t="s">
        <v>282</v>
      </c>
      <c r="AH76" s="68" t="b">
        <v>1</v>
      </c>
      <c r="AI76" s="68" t="s">
        <v>283</v>
      </c>
      <c r="AJ76" s="68"/>
      <c r="AK76" s="73" t="s">
        <v>945</v>
      </c>
      <c r="AL76" s="68" t="b">
        <v>0</v>
      </c>
      <c r="AM76" s="68">
        <v>0</v>
      </c>
      <c r="AN76" s="73" t="s">
        <v>282</v>
      </c>
      <c r="AO76" s="73" t="s">
        <v>285</v>
      </c>
      <c r="AP76" s="68" t="b">
        <v>0</v>
      </c>
      <c r="AQ76" s="73" t="s">
        <v>898</v>
      </c>
      <c r="AR76" s="68" t="s">
        <v>218</v>
      </c>
      <c r="AS76" s="68">
        <v>0</v>
      </c>
      <c r="AT76" s="68">
        <v>0</v>
      </c>
      <c r="AU76" s="68"/>
      <c r="AV76" s="68"/>
      <c r="AW76" s="68"/>
      <c r="AX76" s="68"/>
      <c r="AY76" s="68"/>
      <c r="AZ76" s="68"/>
      <c r="BA76" s="68"/>
      <c r="BB76" s="68"/>
      <c r="BC76" s="68">
        <v>1</v>
      </c>
      <c r="BD76" s="67" t="str">
        <f>REPLACE(INDEX(GroupVertices[Group],MATCH(Edges37[[#This Row],[Vertex 1]],GroupVertices[Vertex],0)),1,1,"")</f>
        <v>19</v>
      </c>
      <c r="BE76" s="67" t="str">
        <f>REPLACE(INDEX(GroupVertices[Group],MATCH(Edges37[[#This Row],[Vertex 2]],GroupVertices[Vertex],0)),1,1,"")</f>
        <v>19</v>
      </c>
      <c r="BF76" s="49">
        <v>0</v>
      </c>
      <c r="BG76" s="50">
        <v>0</v>
      </c>
      <c r="BH76" s="49">
        <v>0</v>
      </c>
      <c r="BI76" s="50">
        <v>0</v>
      </c>
      <c r="BJ76" s="49">
        <v>0</v>
      </c>
      <c r="BK76" s="50">
        <v>0</v>
      </c>
      <c r="BL76" s="49">
        <v>23</v>
      </c>
      <c r="BM76" s="50">
        <v>100</v>
      </c>
      <c r="BN76" s="49">
        <v>23</v>
      </c>
    </row>
    <row r="77" spans="1:66" ht="15">
      <c r="A77" s="66" t="s">
        <v>610</v>
      </c>
      <c r="B77" s="66" t="s">
        <v>645</v>
      </c>
      <c r="C77" s="84"/>
      <c r="D77" s="94"/>
      <c r="E77" s="84"/>
      <c r="F77" s="96"/>
      <c r="G77" s="84"/>
      <c r="H77" s="82"/>
      <c r="I77" s="97"/>
      <c r="J77" s="97"/>
      <c r="K77" s="35" t="s">
        <v>65</v>
      </c>
      <c r="L77" s="98">
        <v>90</v>
      </c>
      <c r="M77" s="98"/>
      <c r="N77" s="99"/>
      <c r="O77" s="68" t="s">
        <v>263</v>
      </c>
      <c r="P77" s="70">
        <v>44697.74759259259</v>
      </c>
      <c r="Q77" s="68" t="s">
        <v>683</v>
      </c>
      <c r="R77" s="72" t="str">
        <f>HYPERLINK("https://www.theguardian.com/world/2022/may/16/help-to-buy-evs-in-landmark-new-zealand-net-zero-climate-plan")</f>
        <v>https://www.theguardian.com/world/2022/may/16/help-to-buy-evs-in-landmark-new-zealand-net-zero-climate-plan</v>
      </c>
      <c r="S77" s="68" t="s">
        <v>704</v>
      </c>
      <c r="T77" s="73" t="s">
        <v>716</v>
      </c>
      <c r="U77" s="68"/>
      <c r="V77" s="72" t="str">
        <f>HYPERLINK("https://abs.twimg.com/sticky/default_profile_images/default_profile_normal.png")</f>
        <v>https://abs.twimg.com/sticky/default_profile_images/default_profile_normal.png</v>
      </c>
      <c r="W77" s="70">
        <v>44697.74759259259</v>
      </c>
      <c r="X77" s="75">
        <v>44697</v>
      </c>
      <c r="Y77" s="73" t="s">
        <v>796</v>
      </c>
      <c r="Z77" s="72" t="str">
        <f>HYPERLINK("https://twitter.com/guardineer/status/1526260324986257409")</f>
        <v>https://twitter.com/guardineer/status/1526260324986257409</v>
      </c>
      <c r="AA77" s="68"/>
      <c r="AB77" s="68"/>
      <c r="AC77" s="73" t="s">
        <v>899</v>
      </c>
      <c r="AD77" s="68"/>
      <c r="AE77" s="68" t="b">
        <v>0</v>
      </c>
      <c r="AF77" s="68">
        <v>0</v>
      </c>
      <c r="AG77" s="73" t="s">
        <v>282</v>
      </c>
      <c r="AH77" s="68" t="b">
        <v>0</v>
      </c>
      <c r="AI77" s="68" t="s">
        <v>283</v>
      </c>
      <c r="AJ77" s="68"/>
      <c r="AK77" s="73" t="s">
        <v>282</v>
      </c>
      <c r="AL77" s="68" t="b">
        <v>0</v>
      </c>
      <c r="AM77" s="68">
        <v>0</v>
      </c>
      <c r="AN77" s="73" t="s">
        <v>282</v>
      </c>
      <c r="AO77" s="73" t="s">
        <v>947</v>
      </c>
      <c r="AP77" s="68" t="b">
        <v>0</v>
      </c>
      <c r="AQ77" s="73" t="s">
        <v>899</v>
      </c>
      <c r="AR77" s="68" t="s">
        <v>218</v>
      </c>
      <c r="AS77" s="68">
        <v>0</v>
      </c>
      <c r="AT77" s="68">
        <v>0</v>
      </c>
      <c r="AU77" s="68"/>
      <c r="AV77" s="68"/>
      <c r="AW77" s="68"/>
      <c r="AX77" s="68"/>
      <c r="AY77" s="68"/>
      <c r="AZ77" s="68"/>
      <c r="BA77" s="68"/>
      <c r="BB77" s="68"/>
      <c r="BC77" s="68">
        <v>1</v>
      </c>
      <c r="BD77" s="67" t="str">
        <f>REPLACE(INDEX(GroupVertices[Group],MATCH(Edges37[[#This Row],[Vertex 1]],GroupVertices[Vertex],0)),1,1,"")</f>
        <v>8</v>
      </c>
      <c r="BE77" s="67" t="str">
        <f>REPLACE(INDEX(GroupVertices[Group],MATCH(Edges37[[#This Row],[Vertex 2]],GroupVertices[Vertex],0)),1,1,"")</f>
        <v>8</v>
      </c>
      <c r="BF77" s="49"/>
      <c r="BG77" s="50"/>
      <c r="BH77" s="49"/>
      <c r="BI77" s="50"/>
      <c r="BJ77" s="49"/>
      <c r="BK77" s="50"/>
      <c r="BL77" s="49"/>
      <c r="BM77" s="50"/>
      <c r="BN77" s="49"/>
    </row>
    <row r="78" spans="1:66" ht="15">
      <c r="A78" s="66" t="s">
        <v>611</v>
      </c>
      <c r="B78" s="66" t="s">
        <v>648</v>
      </c>
      <c r="C78" s="84"/>
      <c r="D78" s="94"/>
      <c r="E78" s="84"/>
      <c r="F78" s="96"/>
      <c r="G78" s="84"/>
      <c r="H78" s="82"/>
      <c r="I78" s="97"/>
      <c r="J78" s="97"/>
      <c r="K78" s="35" t="s">
        <v>65</v>
      </c>
      <c r="L78" s="98">
        <v>93</v>
      </c>
      <c r="M78" s="98"/>
      <c r="N78" s="99"/>
      <c r="O78" s="68" t="s">
        <v>263</v>
      </c>
      <c r="P78" s="70">
        <v>44697.81400462963</v>
      </c>
      <c r="Q78" s="68" t="s">
        <v>684</v>
      </c>
      <c r="R78" s="72" t="str">
        <f>HYPERLINK("https://www.teaomaori.news/emission-reduction-plan-government-also-launches-maori-climate-strategy-funding")</f>
        <v>https://www.teaomaori.news/emission-reduction-plan-government-also-launches-maori-climate-strategy-funding</v>
      </c>
      <c r="S78" s="68" t="s">
        <v>705</v>
      </c>
      <c r="T78" s="68"/>
      <c r="U78" s="68"/>
      <c r="V78" s="72" t="str">
        <f>HYPERLINK("https://pbs.twimg.com/profile_images/1513088337296654337/cLZ6GCEk_normal.jpg")</f>
        <v>https://pbs.twimg.com/profile_images/1513088337296654337/cLZ6GCEk_normal.jpg</v>
      </c>
      <c r="W78" s="70">
        <v>44697.81400462963</v>
      </c>
      <c r="X78" s="75">
        <v>44697</v>
      </c>
      <c r="Y78" s="73" t="s">
        <v>797</v>
      </c>
      <c r="Z78" s="72" t="str">
        <f>HYPERLINK("https://twitter.com/jaackiepaul/status/1526284389373444096")</f>
        <v>https://twitter.com/jaackiepaul/status/1526284389373444096</v>
      </c>
      <c r="AA78" s="68"/>
      <c r="AB78" s="68"/>
      <c r="AC78" s="73" t="s">
        <v>900</v>
      </c>
      <c r="AD78" s="68"/>
      <c r="AE78" s="68" t="b">
        <v>0</v>
      </c>
      <c r="AF78" s="68">
        <v>0</v>
      </c>
      <c r="AG78" s="73" t="s">
        <v>282</v>
      </c>
      <c r="AH78" s="68" t="b">
        <v>0</v>
      </c>
      <c r="AI78" s="68" t="s">
        <v>283</v>
      </c>
      <c r="AJ78" s="68"/>
      <c r="AK78" s="73" t="s">
        <v>282</v>
      </c>
      <c r="AL78" s="68" t="b">
        <v>0</v>
      </c>
      <c r="AM78" s="68">
        <v>0</v>
      </c>
      <c r="AN78" s="73" t="s">
        <v>282</v>
      </c>
      <c r="AO78" s="73" t="s">
        <v>285</v>
      </c>
      <c r="AP78" s="68" t="b">
        <v>0</v>
      </c>
      <c r="AQ78" s="73" t="s">
        <v>900</v>
      </c>
      <c r="AR78" s="68" t="s">
        <v>218</v>
      </c>
      <c r="AS78" s="68">
        <v>0</v>
      </c>
      <c r="AT78" s="68">
        <v>0</v>
      </c>
      <c r="AU78" s="68"/>
      <c r="AV78" s="68"/>
      <c r="AW78" s="68"/>
      <c r="AX78" s="68"/>
      <c r="AY78" s="68"/>
      <c r="AZ78" s="68"/>
      <c r="BA78" s="68"/>
      <c r="BB78" s="68"/>
      <c r="BC78" s="68">
        <v>1</v>
      </c>
      <c r="BD78" s="67" t="str">
        <f>REPLACE(INDEX(GroupVertices[Group],MATCH(Edges37[[#This Row],[Vertex 1]],GroupVertices[Vertex],0)),1,1,"")</f>
        <v>18</v>
      </c>
      <c r="BE78" s="67" t="str">
        <f>REPLACE(INDEX(GroupVertices[Group],MATCH(Edges37[[#This Row],[Vertex 2]],GroupVertices[Vertex],0)),1,1,"")</f>
        <v>18</v>
      </c>
      <c r="BF78" s="49">
        <v>0</v>
      </c>
      <c r="BG78" s="50">
        <v>0</v>
      </c>
      <c r="BH78" s="49">
        <v>0</v>
      </c>
      <c r="BI78" s="50">
        <v>0</v>
      </c>
      <c r="BJ78" s="49">
        <v>0</v>
      </c>
      <c r="BK78" s="50">
        <v>0</v>
      </c>
      <c r="BL78" s="49">
        <v>12</v>
      </c>
      <c r="BM78" s="50">
        <v>100</v>
      </c>
      <c r="BN78" s="49">
        <v>12</v>
      </c>
    </row>
    <row r="79" spans="1:66" ht="15">
      <c r="A79" s="66" t="s">
        <v>612</v>
      </c>
      <c r="B79" s="66" t="s">
        <v>629</v>
      </c>
      <c r="C79" s="84"/>
      <c r="D79" s="94"/>
      <c r="E79" s="84"/>
      <c r="F79" s="96"/>
      <c r="G79" s="84"/>
      <c r="H79" s="82"/>
      <c r="I79" s="97"/>
      <c r="J79" s="97"/>
      <c r="K79" s="35" t="s">
        <v>65</v>
      </c>
      <c r="L79" s="98">
        <v>94</v>
      </c>
      <c r="M79" s="98"/>
      <c r="N79" s="99"/>
      <c r="O79" s="68" t="s">
        <v>262</v>
      </c>
      <c r="P79" s="70">
        <v>44697.85402777778</v>
      </c>
      <c r="Q79" s="68" t="s">
        <v>672</v>
      </c>
      <c r="R79" s="68"/>
      <c r="S79" s="68"/>
      <c r="T79" s="68"/>
      <c r="U79" s="68"/>
      <c r="V79" s="72" t="str">
        <f>HYPERLINK("https://pbs.twimg.com/profile_images/684161878449209344/7gIPnaU5_normal.jpg")</f>
        <v>https://pbs.twimg.com/profile_images/684161878449209344/7gIPnaU5_normal.jpg</v>
      </c>
      <c r="W79" s="70">
        <v>44697.85402777778</v>
      </c>
      <c r="X79" s="75">
        <v>44697</v>
      </c>
      <c r="Y79" s="73" t="s">
        <v>798</v>
      </c>
      <c r="Z79" s="72" t="str">
        <f>HYPERLINK("https://twitter.com/gregpresland/status/1526298895118381056")</f>
        <v>https://twitter.com/gregpresland/status/1526298895118381056</v>
      </c>
      <c r="AA79" s="68"/>
      <c r="AB79" s="68"/>
      <c r="AC79" s="73" t="s">
        <v>901</v>
      </c>
      <c r="AD79" s="68"/>
      <c r="AE79" s="68" t="b">
        <v>0</v>
      </c>
      <c r="AF79" s="68">
        <v>0</v>
      </c>
      <c r="AG79" s="73" t="s">
        <v>282</v>
      </c>
      <c r="AH79" s="68" t="b">
        <v>0</v>
      </c>
      <c r="AI79" s="68" t="s">
        <v>283</v>
      </c>
      <c r="AJ79" s="68"/>
      <c r="AK79" s="73" t="s">
        <v>282</v>
      </c>
      <c r="AL79" s="68" t="b">
        <v>0</v>
      </c>
      <c r="AM79" s="68">
        <v>13</v>
      </c>
      <c r="AN79" s="73" t="s">
        <v>920</v>
      </c>
      <c r="AO79" s="73" t="s">
        <v>285</v>
      </c>
      <c r="AP79" s="68" t="b">
        <v>0</v>
      </c>
      <c r="AQ79" s="73" t="s">
        <v>920</v>
      </c>
      <c r="AR79" s="68" t="s">
        <v>218</v>
      </c>
      <c r="AS79" s="68">
        <v>0</v>
      </c>
      <c r="AT79" s="68">
        <v>0</v>
      </c>
      <c r="AU79" s="68"/>
      <c r="AV79" s="68"/>
      <c r="AW79" s="68"/>
      <c r="AX79" s="68"/>
      <c r="AY79" s="68"/>
      <c r="AZ79" s="68"/>
      <c r="BA79" s="68"/>
      <c r="BB79" s="68"/>
      <c r="BC79" s="68">
        <v>1</v>
      </c>
      <c r="BD79" s="67" t="str">
        <f>REPLACE(INDEX(GroupVertices[Group],MATCH(Edges37[[#This Row],[Vertex 1]],GroupVertices[Vertex],0)),1,1,"")</f>
        <v>1</v>
      </c>
      <c r="BE79" s="67" t="str">
        <f>REPLACE(INDEX(GroupVertices[Group],MATCH(Edges37[[#This Row],[Vertex 2]],GroupVertices[Vertex],0)),1,1,"")</f>
        <v>1</v>
      </c>
      <c r="BF79" s="49">
        <v>2</v>
      </c>
      <c r="BG79" s="50">
        <v>4</v>
      </c>
      <c r="BH79" s="49">
        <v>0</v>
      </c>
      <c r="BI79" s="50">
        <v>0</v>
      </c>
      <c r="BJ79" s="49">
        <v>0</v>
      </c>
      <c r="BK79" s="50">
        <v>0</v>
      </c>
      <c r="BL79" s="49">
        <v>48</v>
      </c>
      <c r="BM79" s="50">
        <v>96</v>
      </c>
      <c r="BN79" s="49">
        <v>50</v>
      </c>
    </row>
    <row r="80" spans="1:66" ht="15">
      <c r="A80" s="66" t="s">
        <v>613</v>
      </c>
      <c r="B80" s="66" t="s">
        <v>613</v>
      </c>
      <c r="C80" s="84"/>
      <c r="D80" s="94"/>
      <c r="E80" s="84"/>
      <c r="F80" s="96"/>
      <c r="G80" s="84"/>
      <c r="H80" s="82"/>
      <c r="I80" s="97"/>
      <c r="J80" s="97"/>
      <c r="K80" s="35" t="s">
        <v>65</v>
      </c>
      <c r="L80" s="98">
        <v>95</v>
      </c>
      <c r="M80" s="98"/>
      <c r="N80" s="99"/>
      <c r="O80" s="68" t="s">
        <v>218</v>
      </c>
      <c r="P80" s="70">
        <v>44697.87899305556</v>
      </c>
      <c r="Q80" s="68" t="s">
        <v>685</v>
      </c>
      <c r="R80" s="72" t="str">
        <f>HYPERLINK("https://twitter.com/environmentgvnz/status/1525989421895532544")</f>
        <v>https://twitter.com/environmentgvnz/status/1525989421895532544</v>
      </c>
      <c r="S80" s="68" t="s">
        <v>702</v>
      </c>
      <c r="T80" s="73" t="s">
        <v>717</v>
      </c>
      <c r="U80" s="68"/>
      <c r="V80" s="72" t="str">
        <f>HYPERLINK("https://pbs.twimg.com/profile_images/1426700055516307457/gHOEvqg2_normal.png")</f>
        <v>https://pbs.twimg.com/profile_images/1426700055516307457/gHOEvqg2_normal.png</v>
      </c>
      <c r="W80" s="70">
        <v>44697.87899305556</v>
      </c>
      <c r="X80" s="75">
        <v>44697</v>
      </c>
      <c r="Y80" s="73" t="s">
        <v>799</v>
      </c>
      <c r="Z80" s="72" t="str">
        <f>HYPERLINK("https://twitter.com/iscouncil_/status/1526307940432433152")</f>
        <v>https://twitter.com/iscouncil_/status/1526307940432433152</v>
      </c>
      <c r="AA80" s="68"/>
      <c r="AB80" s="68"/>
      <c r="AC80" s="73" t="s">
        <v>902</v>
      </c>
      <c r="AD80" s="68"/>
      <c r="AE80" s="68" t="b">
        <v>0</v>
      </c>
      <c r="AF80" s="68">
        <v>2</v>
      </c>
      <c r="AG80" s="73" t="s">
        <v>282</v>
      </c>
      <c r="AH80" s="68" t="b">
        <v>1</v>
      </c>
      <c r="AI80" s="68" t="s">
        <v>283</v>
      </c>
      <c r="AJ80" s="68"/>
      <c r="AK80" s="73" t="s">
        <v>946</v>
      </c>
      <c r="AL80" s="68" t="b">
        <v>0</v>
      </c>
      <c r="AM80" s="68">
        <v>0</v>
      </c>
      <c r="AN80" s="73" t="s">
        <v>282</v>
      </c>
      <c r="AO80" s="73" t="s">
        <v>285</v>
      </c>
      <c r="AP80" s="68" t="b">
        <v>0</v>
      </c>
      <c r="AQ80" s="73" t="s">
        <v>902</v>
      </c>
      <c r="AR80" s="68" t="s">
        <v>218</v>
      </c>
      <c r="AS80" s="68">
        <v>0</v>
      </c>
      <c r="AT80" s="68">
        <v>0</v>
      </c>
      <c r="AU80" s="68"/>
      <c r="AV80" s="68"/>
      <c r="AW80" s="68"/>
      <c r="AX80" s="68"/>
      <c r="AY80" s="68"/>
      <c r="AZ80" s="68"/>
      <c r="BA80" s="68"/>
      <c r="BB80" s="68"/>
      <c r="BC80" s="68">
        <v>1</v>
      </c>
      <c r="BD80" s="67" t="str">
        <f>REPLACE(INDEX(GroupVertices[Group],MATCH(Edges37[[#This Row],[Vertex 1]],GroupVertices[Vertex],0)),1,1,"")</f>
        <v>2</v>
      </c>
      <c r="BE80" s="67" t="str">
        <f>REPLACE(INDEX(GroupVertices[Group],MATCH(Edges37[[#This Row],[Vertex 2]],GroupVertices[Vertex],0)),1,1,"")</f>
        <v>2</v>
      </c>
      <c r="BF80" s="49">
        <v>1</v>
      </c>
      <c r="BG80" s="50">
        <v>3.3333333333333335</v>
      </c>
      <c r="BH80" s="49">
        <v>0</v>
      </c>
      <c r="BI80" s="50">
        <v>0</v>
      </c>
      <c r="BJ80" s="49">
        <v>0</v>
      </c>
      <c r="BK80" s="50">
        <v>0</v>
      </c>
      <c r="BL80" s="49">
        <v>29</v>
      </c>
      <c r="BM80" s="50">
        <v>96.66666666666667</v>
      </c>
      <c r="BN80" s="49">
        <v>30</v>
      </c>
    </row>
    <row r="81" spans="1:66" ht="15">
      <c r="A81" s="66" t="s">
        <v>614</v>
      </c>
      <c r="B81" s="66" t="s">
        <v>625</v>
      </c>
      <c r="C81" s="84"/>
      <c r="D81" s="94"/>
      <c r="E81" s="84"/>
      <c r="F81" s="96"/>
      <c r="G81" s="84"/>
      <c r="H81" s="82"/>
      <c r="I81" s="97"/>
      <c r="J81" s="97"/>
      <c r="K81" s="35" t="s">
        <v>65</v>
      </c>
      <c r="L81" s="98">
        <v>96</v>
      </c>
      <c r="M81" s="98"/>
      <c r="N81" s="99"/>
      <c r="O81" s="68" t="s">
        <v>262</v>
      </c>
      <c r="P81" s="70">
        <v>44697.879155092596</v>
      </c>
      <c r="Q81" s="68" t="s">
        <v>673</v>
      </c>
      <c r="R81" s="68"/>
      <c r="S81" s="68"/>
      <c r="T81" s="68"/>
      <c r="U81" s="68"/>
      <c r="V81" s="72" t="str">
        <f>HYPERLINK("https://pbs.twimg.com/profile_images/1400656170721759236/de-5bOBZ_normal.jpg")</f>
        <v>https://pbs.twimg.com/profile_images/1400656170721759236/de-5bOBZ_normal.jpg</v>
      </c>
      <c r="W81" s="70">
        <v>44697.879155092596</v>
      </c>
      <c r="X81" s="75">
        <v>44697</v>
      </c>
      <c r="Y81" s="73" t="s">
        <v>800</v>
      </c>
      <c r="Z81" s="72" t="str">
        <f>HYPERLINK("https://twitter.com/otautaut/status/1526307999996059648")</f>
        <v>https://twitter.com/otautaut/status/1526307999996059648</v>
      </c>
      <c r="AA81" s="68"/>
      <c r="AB81" s="68"/>
      <c r="AC81" s="73" t="s">
        <v>903</v>
      </c>
      <c r="AD81" s="68"/>
      <c r="AE81" s="68" t="b">
        <v>0</v>
      </c>
      <c r="AF81" s="68">
        <v>0</v>
      </c>
      <c r="AG81" s="73" t="s">
        <v>282</v>
      </c>
      <c r="AH81" s="68" t="b">
        <v>0</v>
      </c>
      <c r="AI81" s="68" t="s">
        <v>283</v>
      </c>
      <c r="AJ81" s="68"/>
      <c r="AK81" s="73" t="s">
        <v>282</v>
      </c>
      <c r="AL81" s="68" t="b">
        <v>0</v>
      </c>
      <c r="AM81" s="68">
        <v>14</v>
      </c>
      <c r="AN81" s="73" t="s">
        <v>915</v>
      </c>
      <c r="AO81" s="73" t="s">
        <v>285</v>
      </c>
      <c r="AP81" s="68" t="b">
        <v>0</v>
      </c>
      <c r="AQ81" s="73" t="s">
        <v>915</v>
      </c>
      <c r="AR81" s="68" t="s">
        <v>218</v>
      </c>
      <c r="AS81" s="68">
        <v>0</v>
      </c>
      <c r="AT81" s="68">
        <v>0</v>
      </c>
      <c r="AU81" s="68"/>
      <c r="AV81" s="68"/>
      <c r="AW81" s="68"/>
      <c r="AX81" s="68"/>
      <c r="AY81" s="68"/>
      <c r="AZ81" s="68"/>
      <c r="BA81" s="68"/>
      <c r="BB81" s="68"/>
      <c r="BC81" s="68">
        <v>1</v>
      </c>
      <c r="BD81" s="67" t="str">
        <f>REPLACE(INDEX(GroupVertices[Group],MATCH(Edges37[[#This Row],[Vertex 1]],GroupVertices[Vertex],0)),1,1,"")</f>
        <v>3</v>
      </c>
      <c r="BE81" s="67" t="str">
        <f>REPLACE(INDEX(GroupVertices[Group],MATCH(Edges37[[#This Row],[Vertex 2]],GroupVertices[Vertex],0)),1,1,"")</f>
        <v>3</v>
      </c>
      <c r="BF81" s="49">
        <v>1</v>
      </c>
      <c r="BG81" s="50">
        <v>2.3255813953488373</v>
      </c>
      <c r="BH81" s="49">
        <v>0</v>
      </c>
      <c r="BI81" s="50">
        <v>0</v>
      </c>
      <c r="BJ81" s="49">
        <v>0</v>
      </c>
      <c r="BK81" s="50">
        <v>0</v>
      </c>
      <c r="BL81" s="49">
        <v>42</v>
      </c>
      <c r="BM81" s="50">
        <v>97.67441860465117</v>
      </c>
      <c r="BN81" s="49">
        <v>43</v>
      </c>
    </row>
    <row r="82" spans="1:66" ht="15">
      <c r="A82" s="66" t="s">
        <v>615</v>
      </c>
      <c r="B82" s="66" t="s">
        <v>625</v>
      </c>
      <c r="C82" s="84"/>
      <c r="D82" s="94"/>
      <c r="E82" s="84"/>
      <c r="F82" s="96"/>
      <c r="G82" s="84"/>
      <c r="H82" s="82"/>
      <c r="I82" s="97"/>
      <c r="J82" s="97"/>
      <c r="K82" s="35" t="s">
        <v>65</v>
      </c>
      <c r="L82" s="98">
        <v>97</v>
      </c>
      <c r="M82" s="98"/>
      <c r="N82" s="99"/>
      <c r="O82" s="68" t="s">
        <v>262</v>
      </c>
      <c r="P82" s="70">
        <v>44697.90168981482</v>
      </c>
      <c r="Q82" s="68" t="s">
        <v>673</v>
      </c>
      <c r="R82" s="68"/>
      <c r="S82" s="68"/>
      <c r="T82" s="68"/>
      <c r="U82" s="68"/>
      <c r="V82" s="72" t="str">
        <f>HYPERLINK("https://pbs.twimg.com/profile_images/1363300913352380416/JpZOFKpj_normal.jpg")</f>
        <v>https://pbs.twimg.com/profile_images/1363300913352380416/JpZOFKpj_normal.jpg</v>
      </c>
      <c r="W82" s="70">
        <v>44697.90168981482</v>
      </c>
      <c r="X82" s="75">
        <v>44697</v>
      </c>
      <c r="Y82" s="73" t="s">
        <v>801</v>
      </c>
      <c r="Z82" s="72" t="str">
        <f>HYPERLINK("https://twitter.com/leftiebynature/status/1526316167056732160")</f>
        <v>https://twitter.com/leftiebynature/status/1526316167056732160</v>
      </c>
      <c r="AA82" s="68"/>
      <c r="AB82" s="68"/>
      <c r="AC82" s="73" t="s">
        <v>904</v>
      </c>
      <c r="AD82" s="68"/>
      <c r="AE82" s="68" t="b">
        <v>0</v>
      </c>
      <c r="AF82" s="68">
        <v>0</v>
      </c>
      <c r="AG82" s="73" t="s">
        <v>282</v>
      </c>
      <c r="AH82" s="68" t="b">
        <v>0</v>
      </c>
      <c r="AI82" s="68" t="s">
        <v>283</v>
      </c>
      <c r="AJ82" s="68"/>
      <c r="AK82" s="73" t="s">
        <v>282</v>
      </c>
      <c r="AL82" s="68" t="b">
        <v>0</v>
      </c>
      <c r="AM82" s="68">
        <v>14</v>
      </c>
      <c r="AN82" s="73" t="s">
        <v>915</v>
      </c>
      <c r="AO82" s="73" t="s">
        <v>284</v>
      </c>
      <c r="AP82" s="68" t="b">
        <v>0</v>
      </c>
      <c r="AQ82" s="73" t="s">
        <v>915</v>
      </c>
      <c r="AR82" s="68" t="s">
        <v>218</v>
      </c>
      <c r="AS82" s="68">
        <v>0</v>
      </c>
      <c r="AT82" s="68">
        <v>0</v>
      </c>
      <c r="AU82" s="68"/>
      <c r="AV82" s="68"/>
      <c r="AW82" s="68"/>
      <c r="AX82" s="68"/>
      <c r="AY82" s="68"/>
      <c r="AZ82" s="68"/>
      <c r="BA82" s="68"/>
      <c r="BB82" s="68"/>
      <c r="BC82" s="68">
        <v>1</v>
      </c>
      <c r="BD82" s="67" t="str">
        <f>REPLACE(INDEX(GroupVertices[Group],MATCH(Edges37[[#This Row],[Vertex 1]],GroupVertices[Vertex],0)),1,1,"")</f>
        <v>3</v>
      </c>
      <c r="BE82" s="67" t="str">
        <f>REPLACE(INDEX(GroupVertices[Group],MATCH(Edges37[[#This Row],[Vertex 2]],GroupVertices[Vertex],0)),1,1,"")</f>
        <v>3</v>
      </c>
      <c r="BF82" s="49">
        <v>1</v>
      </c>
      <c r="BG82" s="50">
        <v>2.3255813953488373</v>
      </c>
      <c r="BH82" s="49">
        <v>0</v>
      </c>
      <c r="BI82" s="50">
        <v>0</v>
      </c>
      <c r="BJ82" s="49">
        <v>0</v>
      </c>
      <c r="BK82" s="50">
        <v>0</v>
      </c>
      <c r="BL82" s="49">
        <v>42</v>
      </c>
      <c r="BM82" s="50">
        <v>97.67441860465117</v>
      </c>
      <c r="BN82" s="49">
        <v>43</v>
      </c>
    </row>
    <row r="83" spans="1:66" ht="15">
      <c r="A83" s="66" t="s">
        <v>616</v>
      </c>
      <c r="B83" s="66" t="s">
        <v>629</v>
      </c>
      <c r="C83" s="84"/>
      <c r="D83" s="94"/>
      <c r="E83" s="84"/>
      <c r="F83" s="96"/>
      <c r="G83" s="84"/>
      <c r="H83" s="82"/>
      <c r="I83" s="97"/>
      <c r="J83" s="97"/>
      <c r="K83" s="35" t="s">
        <v>65</v>
      </c>
      <c r="L83" s="98">
        <v>98</v>
      </c>
      <c r="M83" s="98"/>
      <c r="N83" s="99"/>
      <c r="O83" s="68" t="s">
        <v>262</v>
      </c>
      <c r="P83" s="70">
        <v>44697.23475694445</v>
      </c>
      <c r="Q83" s="68" t="s">
        <v>672</v>
      </c>
      <c r="R83" s="68"/>
      <c r="S83" s="68"/>
      <c r="T83" s="68"/>
      <c r="U83" s="68"/>
      <c r="V83" s="72" t="str">
        <f>HYPERLINK("https://pbs.twimg.com/profile_images/1516568495206858754/lSuH1e_Y_normal.jpg")</f>
        <v>https://pbs.twimg.com/profile_images/1516568495206858754/lSuH1e_Y_normal.jpg</v>
      </c>
      <c r="W83" s="70">
        <v>44697.23475694445</v>
      </c>
      <c r="X83" s="75">
        <v>44697</v>
      </c>
      <c r="Y83" s="73" t="s">
        <v>802</v>
      </c>
      <c r="Z83" s="72" t="str">
        <f>HYPERLINK("https://twitter.com/3ku1111/status/1526074478706708480")</f>
        <v>https://twitter.com/3ku1111/status/1526074478706708480</v>
      </c>
      <c r="AA83" s="68"/>
      <c r="AB83" s="68"/>
      <c r="AC83" s="73" t="s">
        <v>905</v>
      </c>
      <c r="AD83" s="68"/>
      <c r="AE83" s="68" t="b">
        <v>0</v>
      </c>
      <c r="AF83" s="68">
        <v>0</v>
      </c>
      <c r="AG83" s="73" t="s">
        <v>282</v>
      </c>
      <c r="AH83" s="68" t="b">
        <v>0</v>
      </c>
      <c r="AI83" s="68" t="s">
        <v>283</v>
      </c>
      <c r="AJ83" s="68"/>
      <c r="AK83" s="73" t="s">
        <v>282</v>
      </c>
      <c r="AL83" s="68" t="b">
        <v>0</v>
      </c>
      <c r="AM83" s="68">
        <v>13</v>
      </c>
      <c r="AN83" s="73" t="s">
        <v>920</v>
      </c>
      <c r="AO83" s="73" t="s">
        <v>284</v>
      </c>
      <c r="AP83" s="68" t="b">
        <v>0</v>
      </c>
      <c r="AQ83" s="73" t="s">
        <v>920</v>
      </c>
      <c r="AR83" s="68" t="s">
        <v>218</v>
      </c>
      <c r="AS83" s="68">
        <v>0</v>
      </c>
      <c r="AT83" s="68">
        <v>0</v>
      </c>
      <c r="AU83" s="68"/>
      <c r="AV83" s="68"/>
      <c r="AW83" s="68"/>
      <c r="AX83" s="68"/>
      <c r="AY83" s="68"/>
      <c r="AZ83" s="68"/>
      <c r="BA83" s="68"/>
      <c r="BB83" s="68"/>
      <c r="BC83" s="68">
        <v>1</v>
      </c>
      <c r="BD83" s="67" t="str">
        <f>REPLACE(INDEX(GroupVertices[Group],MATCH(Edges37[[#This Row],[Vertex 1]],GroupVertices[Vertex],0)),1,1,"")</f>
        <v>1</v>
      </c>
      <c r="BE83" s="67" t="str">
        <f>REPLACE(INDEX(GroupVertices[Group],MATCH(Edges37[[#This Row],[Vertex 2]],GroupVertices[Vertex],0)),1,1,"")</f>
        <v>1</v>
      </c>
      <c r="BF83" s="49">
        <v>2</v>
      </c>
      <c r="BG83" s="50">
        <v>4</v>
      </c>
      <c r="BH83" s="49">
        <v>0</v>
      </c>
      <c r="BI83" s="50">
        <v>0</v>
      </c>
      <c r="BJ83" s="49">
        <v>0</v>
      </c>
      <c r="BK83" s="50">
        <v>0</v>
      </c>
      <c r="BL83" s="49">
        <v>48</v>
      </c>
      <c r="BM83" s="50">
        <v>96</v>
      </c>
      <c r="BN83" s="49">
        <v>50</v>
      </c>
    </row>
    <row r="84" spans="1:66" ht="15">
      <c r="A84" s="66" t="s">
        <v>616</v>
      </c>
      <c r="B84" s="66" t="s">
        <v>616</v>
      </c>
      <c r="C84" s="84"/>
      <c r="D84" s="94"/>
      <c r="E84" s="84"/>
      <c r="F84" s="96"/>
      <c r="G84" s="84"/>
      <c r="H84" s="82"/>
      <c r="I84" s="97"/>
      <c r="J84" s="97"/>
      <c r="K84" s="35" t="s">
        <v>65</v>
      </c>
      <c r="L84" s="98">
        <v>99</v>
      </c>
      <c r="M84" s="98"/>
      <c r="N84" s="99"/>
      <c r="O84" s="68" t="s">
        <v>218</v>
      </c>
      <c r="P84" s="70">
        <v>44698.08631944445</v>
      </c>
      <c r="Q84" s="68" t="s">
        <v>686</v>
      </c>
      <c r="R84" s="68"/>
      <c r="S84" s="68"/>
      <c r="T84" s="73" t="s">
        <v>718</v>
      </c>
      <c r="U84" s="68"/>
      <c r="V84" s="72" t="str">
        <f>HYPERLINK("https://pbs.twimg.com/profile_images/1516568495206858754/lSuH1e_Y_normal.jpg")</f>
        <v>https://pbs.twimg.com/profile_images/1516568495206858754/lSuH1e_Y_normal.jpg</v>
      </c>
      <c r="W84" s="70">
        <v>44698.08631944445</v>
      </c>
      <c r="X84" s="75">
        <v>44698</v>
      </c>
      <c r="Y84" s="73" t="s">
        <v>803</v>
      </c>
      <c r="Z84" s="72" t="str">
        <f>HYPERLINK("https://twitter.com/3ku1111/status/1526383074397024256")</f>
        <v>https://twitter.com/3ku1111/status/1526383074397024256</v>
      </c>
      <c r="AA84" s="68"/>
      <c r="AB84" s="68"/>
      <c r="AC84" s="73" t="s">
        <v>906</v>
      </c>
      <c r="AD84" s="68"/>
      <c r="AE84" s="68" t="b">
        <v>0</v>
      </c>
      <c r="AF84" s="68">
        <v>0</v>
      </c>
      <c r="AG84" s="73" t="s">
        <v>282</v>
      </c>
      <c r="AH84" s="68" t="b">
        <v>0</v>
      </c>
      <c r="AI84" s="68" t="s">
        <v>283</v>
      </c>
      <c r="AJ84" s="68"/>
      <c r="AK84" s="73" t="s">
        <v>282</v>
      </c>
      <c r="AL84" s="68" t="b">
        <v>0</v>
      </c>
      <c r="AM84" s="68">
        <v>0</v>
      </c>
      <c r="AN84" s="73" t="s">
        <v>282</v>
      </c>
      <c r="AO84" s="73" t="s">
        <v>284</v>
      </c>
      <c r="AP84" s="68" t="b">
        <v>0</v>
      </c>
      <c r="AQ84" s="73" t="s">
        <v>906</v>
      </c>
      <c r="AR84" s="68" t="s">
        <v>218</v>
      </c>
      <c r="AS84" s="68">
        <v>0</v>
      </c>
      <c r="AT84" s="68">
        <v>0</v>
      </c>
      <c r="AU84" s="68"/>
      <c r="AV84" s="68"/>
      <c r="AW84" s="68"/>
      <c r="AX84" s="68"/>
      <c r="AY84" s="68"/>
      <c r="AZ84" s="68"/>
      <c r="BA84" s="68"/>
      <c r="BB84" s="68"/>
      <c r="BC84" s="68">
        <v>1</v>
      </c>
      <c r="BD84" s="67" t="str">
        <f>REPLACE(INDEX(GroupVertices[Group],MATCH(Edges37[[#This Row],[Vertex 1]],GroupVertices[Vertex],0)),1,1,"")</f>
        <v>1</v>
      </c>
      <c r="BE84" s="67" t="str">
        <f>REPLACE(INDEX(GroupVertices[Group],MATCH(Edges37[[#This Row],[Vertex 2]],GroupVertices[Vertex],0)),1,1,"")</f>
        <v>1</v>
      </c>
      <c r="BF84" s="49">
        <v>2</v>
      </c>
      <c r="BG84" s="50">
        <v>5.405405405405405</v>
      </c>
      <c r="BH84" s="49">
        <v>0</v>
      </c>
      <c r="BI84" s="50">
        <v>0</v>
      </c>
      <c r="BJ84" s="49">
        <v>0</v>
      </c>
      <c r="BK84" s="50">
        <v>0</v>
      </c>
      <c r="BL84" s="49">
        <v>35</v>
      </c>
      <c r="BM84" s="50">
        <v>94.5945945945946</v>
      </c>
      <c r="BN84" s="49">
        <v>37</v>
      </c>
    </row>
    <row r="85" spans="1:66" ht="15">
      <c r="A85" s="66" t="s">
        <v>617</v>
      </c>
      <c r="B85" s="66" t="s">
        <v>620</v>
      </c>
      <c r="C85" s="84"/>
      <c r="D85" s="94"/>
      <c r="E85" s="84"/>
      <c r="F85" s="96"/>
      <c r="G85" s="84"/>
      <c r="H85" s="82"/>
      <c r="I85" s="97"/>
      <c r="J85" s="97"/>
      <c r="K85" s="35" t="s">
        <v>65</v>
      </c>
      <c r="L85" s="98">
        <v>100</v>
      </c>
      <c r="M85" s="98"/>
      <c r="N85" s="99"/>
      <c r="O85" s="68" t="s">
        <v>262</v>
      </c>
      <c r="P85" s="70">
        <v>44698.134050925924</v>
      </c>
      <c r="Q85" s="68" t="s">
        <v>687</v>
      </c>
      <c r="R85" s="72" t="str">
        <f>HYPERLINK("https://www.rnz.co.nz/news/political/467287/national-leader-christopher-luxon-says-no-to-corporate-welfare-for-climate-emission-reductions")</f>
        <v>https://www.rnz.co.nz/news/political/467287/national-leader-christopher-luxon-says-no-to-corporate-welfare-for-climate-emission-reductions</v>
      </c>
      <c r="S85" s="68" t="s">
        <v>269</v>
      </c>
      <c r="T85" s="68"/>
      <c r="U85" s="68"/>
      <c r="V85" s="72" t="str">
        <f>HYPERLINK("https://pbs.twimg.com/profile_images/442907058044542976/GFUPkyFi_normal.jpeg")</f>
        <v>https://pbs.twimg.com/profile_images/442907058044542976/GFUPkyFi_normal.jpeg</v>
      </c>
      <c r="W85" s="70">
        <v>44698.134050925924</v>
      </c>
      <c r="X85" s="75">
        <v>44698</v>
      </c>
      <c r="Y85" s="73" t="s">
        <v>804</v>
      </c>
      <c r="Z85" s="72" t="str">
        <f>HYPERLINK("https://twitter.com/jimrosenz/status/1526400374005207040")</f>
        <v>https://twitter.com/jimrosenz/status/1526400374005207040</v>
      </c>
      <c r="AA85" s="68"/>
      <c r="AB85" s="68"/>
      <c r="AC85" s="73" t="s">
        <v>907</v>
      </c>
      <c r="AD85" s="68"/>
      <c r="AE85" s="68" t="b">
        <v>0</v>
      </c>
      <c r="AF85" s="68">
        <v>0</v>
      </c>
      <c r="AG85" s="73" t="s">
        <v>282</v>
      </c>
      <c r="AH85" s="68" t="b">
        <v>0</v>
      </c>
      <c r="AI85" s="68" t="s">
        <v>283</v>
      </c>
      <c r="AJ85" s="68"/>
      <c r="AK85" s="73" t="s">
        <v>282</v>
      </c>
      <c r="AL85" s="68" t="b">
        <v>0</v>
      </c>
      <c r="AM85" s="68">
        <v>2</v>
      </c>
      <c r="AN85" s="73" t="s">
        <v>910</v>
      </c>
      <c r="AO85" s="73" t="s">
        <v>947</v>
      </c>
      <c r="AP85" s="68" t="b">
        <v>0</v>
      </c>
      <c r="AQ85" s="73" t="s">
        <v>910</v>
      </c>
      <c r="AR85" s="68" t="s">
        <v>218</v>
      </c>
      <c r="AS85" s="68">
        <v>0</v>
      </c>
      <c r="AT85" s="68">
        <v>0</v>
      </c>
      <c r="AU85" s="68"/>
      <c r="AV85" s="68"/>
      <c r="AW85" s="68"/>
      <c r="AX85" s="68"/>
      <c r="AY85" s="68"/>
      <c r="AZ85" s="68"/>
      <c r="BA85" s="68"/>
      <c r="BB85" s="68"/>
      <c r="BC85" s="68">
        <v>1</v>
      </c>
      <c r="BD85" s="67" t="str">
        <f>REPLACE(INDEX(GroupVertices[Group],MATCH(Edges37[[#This Row],[Vertex 1]],GroupVertices[Vertex],0)),1,1,"")</f>
        <v>12</v>
      </c>
      <c r="BE85" s="67" t="str">
        <f>REPLACE(INDEX(GroupVertices[Group],MATCH(Edges37[[#This Row],[Vertex 2]],GroupVertices[Vertex],0)),1,1,"")</f>
        <v>12</v>
      </c>
      <c r="BF85" s="49">
        <v>0</v>
      </c>
      <c r="BG85" s="50">
        <v>0</v>
      </c>
      <c r="BH85" s="49">
        <v>0</v>
      </c>
      <c r="BI85" s="50">
        <v>0</v>
      </c>
      <c r="BJ85" s="49">
        <v>0</v>
      </c>
      <c r="BK85" s="50">
        <v>0</v>
      </c>
      <c r="BL85" s="49">
        <v>35</v>
      </c>
      <c r="BM85" s="50">
        <v>100</v>
      </c>
      <c r="BN85" s="49">
        <v>35</v>
      </c>
    </row>
    <row r="86" spans="1:66" ht="15">
      <c r="A86" s="66" t="s">
        <v>618</v>
      </c>
      <c r="B86" s="66" t="s">
        <v>618</v>
      </c>
      <c r="C86" s="84"/>
      <c r="D86" s="94"/>
      <c r="E86" s="84"/>
      <c r="F86" s="96"/>
      <c r="G86" s="84"/>
      <c r="H86" s="82"/>
      <c r="I86" s="97"/>
      <c r="J86" s="97"/>
      <c r="K86" s="35" t="s">
        <v>65</v>
      </c>
      <c r="L86" s="98">
        <v>101</v>
      </c>
      <c r="M86" s="98"/>
      <c r="N86" s="99"/>
      <c r="O86" s="68" t="s">
        <v>218</v>
      </c>
      <c r="P86" s="70">
        <v>44697.097650462965</v>
      </c>
      <c r="Q86" s="68" t="s">
        <v>688</v>
      </c>
      <c r="R86"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86" s="68" t="s">
        <v>269</v>
      </c>
      <c r="T86" s="68"/>
      <c r="U86" s="68"/>
      <c r="V86" s="72" t="str">
        <f>HYPERLINK("https://pbs.twimg.com/profile_images/1509402652119298053/6dJa4CvD_normal.jpg")</f>
        <v>https://pbs.twimg.com/profile_images/1509402652119298053/6dJa4CvD_normal.jpg</v>
      </c>
      <c r="W86" s="70">
        <v>44697.097650462965</v>
      </c>
      <c r="X86" s="75">
        <v>44697</v>
      </c>
      <c r="Y86" s="73" t="s">
        <v>805</v>
      </c>
      <c r="Z86" s="72" t="str">
        <f>HYPERLINK("https://twitter.com/bjafari/status/1526024793392553986")</f>
        <v>https://twitter.com/bjafari/status/1526024793392553986</v>
      </c>
      <c r="AA86" s="68"/>
      <c r="AB86" s="68"/>
      <c r="AC86" s="73" t="s">
        <v>908</v>
      </c>
      <c r="AD86" s="68"/>
      <c r="AE86" s="68" t="b">
        <v>0</v>
      </c>
      <c r="AF86" s="68">
        <v>4</v>
      </c>
      <c r="AG86" s="73" t="s">
        <v>282</v>
      </c>
      <c r="AH86" s="68" t="b">
        <v>0</v>
      </c>
      <c r="AI86" s="68" t="s">
        <v>283</v>
      </c>
      <c r="AJ86" s="68"/>
      <c r="AK86" s="73" t="s">
        <v>282</v>
      </c>
      <c r="AL86" s="68" t="b">
        <v>0</v>
      </c>
      <c r="AM86" s="68">
        <v>1</v>
      </c>
      <c r="AN86" s="73" t="s">
        <v>282</v>
      </c>
      <c r="AO86" s="73" t="s">
        <v>285</v>
      </c>
      <c r="AP86" s="68" t="b">
        <v>0</v>
      </c>
      <c r="AQ86" s="73" t="s">
        <v>908</v>
      </c>
      <c r="AR86" s="68" t="s">
        <v>218</v>
      </c>
      <c r="AS86" s="68">
        <v>0</v>
      </c>
      <c r="AT86" s="68">
        <v>0</v>
      </c>
      <c r="AU86" s="68"/>
      <c r="AV86" s="68"/>
      <c r="AW86" s="68"/>
      <c r="AX86" s="68"/>
      <c r="AY86" s="68"/>
      <c r="AZ86" s="68"/>
      <c r="BA86" s="68"/>
      <c r="BB86" s="68"/>
      <c r="BC86" s="68">
        <v>1</v>
      </c>
      <c r="BD86" s="67" t="str">
        <f>REPLACE(INDEX(GroupVertices[Group],MATCH(Edges37[[#This Row],[Vertex 1]],GroupVertices[Vertex],0)),1,1,"")</f>
        <v>17</v>
      </c>
      <c r="BE86" s="67" t="str">
        <f>REPLACE(INDEX(GroupVertices[Group],MATCH(Edges37[[#This Row],[Vertex 2]],GroupVertices[Vertex],0)),1,1,"")</f>
        <v>17</v>
      </c>
      <c r="BF86" s="49">
        <v>2</v>
      </c>
      <c r="BG86" s="50">
        <v>6.25</v>
      </c>
      <c r="BH86" s="49">
        <v>0</v>
      </c>
      <c r="BI86" s="50">
        <v>0</v>
      </c>
      <c r="BJ86" s="49">
        <v>0</v>
      </c>
      <c r="BK86" s="50">
        <v>0</v>
      </c>
      <c r="BL86" s="49">
        <v>30</v>
      </c>
      <c r="BM86" s="50">
        <v>93.75</v>
      </c>
      <c r="BN86" s="49">
        <v>32</v>
      </c>
    </row>
    <row r="87" spans="1:66" ht="15">
      <c r="A87" s="66" t="s">
        <v>619</v>
      </c>
      <c r="B87" s="66" t="s">
        <v>618</v>
      </c>
      <c r="C87" s="84"/>
      <c r="D87" s="94"/>
      <c r="E87" s="84"/>
      <c r="F87" s="96"/>
      <c r="G87" s="84"/>
      <c r="H87" s="82"/>
      <c r="I87" s="97"/>
      <c r="J87" s="97"/>
      <c r="K87" s="35" t="s">
        <v>65</v>
      </c>
      <c r="L87" s="98">
        <v>102</v>
      </c>
      <c r="M87" s="98"/>
      <c r="N87" s="99"/>
      <c r="O87" s="68" t="s">
        <v>262</v>
      </c>
      <c r="P87" s="70">
        <v>44698.13997685185</v>
      </c>
      <c r="Q87" s="68" t="s">
        <v>688</v>
      </c>
      <c r="R87"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87" s="68" t="s">
        <v>269</v>
      </c>
      <c r="T87" s="68"/>
      <c r="U87" s="68"/>
      <c r="V87" s="72" t="str">
        <f>HYPERLINK("https://pbs.twimg.com/profile_images/1404947351886721032/DL8rdwb4_normal.jpg")</f>
        <v>https://pbs.twimg.com/profile_images/1404947351886721032/DL8rdwb4_normal.jpg</v>
      </c>
      <c r="W87" s="70">
        <v>44698.13997685185</v>
      </c>
      <c r="X87" s="75">
        <v>44698</v>
      </c>
      <c r="Y87" s="73" t="s">
        <v>806</v>
      </c>
      <c r="Z87" s="72" t="str">
        <f>HYPERLINK("https://twitter.com/geoffrey_payne/status/1526402521530372096")</f>
        <v>https://twitter.com/geoffrey_payne/status/1526402521530372096</v>
      </c>
      <c r="AA87" s="68"/>
      <c r="AB87" s="68"/>
      <c r="AC87" s="73" t="s">
        <v>909</v>
      </c>
      <c r="AD87" s="68"/>
      <c r="AE87" s="68" t="b">
        <v>0</v>
      </c>
      <c r="AF87" s="68">
        <v>0</v>
      </c>
      <c r="AG87" s="73" t="s">
        <v>282</v>
      </c>
      <c r="AH87" s="68" t="b">
        <v>0</v>
      </c>
      <c r="AI87" s="68" t="s">
        <v>283</v>
      </c>
      <c r="AJ87" s="68"/>
      <c r="AK87" s="73" t="s">
        <v>282</v>
      </c>
      <c r="AL87" s="68" t="b">
        <v>0</v>
      </c>
      <c r="AM87" s="68">
        <v>1</v>
      </c>
      <c r="AN87" s="73" t="s">
        <v>908</v>
      </c>
      <c r="AO87" s="73" t="s">
        <v>285</v>
      </c>
      <c r="AP87" s="68" t="b">
        <v>0</v>
      </c>
      <c r="AQ87" s="73" t="s">
        <v>908</v>
      </c>
      <c r="AR87" s="68" t="s">
        <v>218</v>
      </c>
      <c r="AS87" s="68">
        <v>0</v>
      </c>
      <c r="AT87" s="68">
        <v>0</v>
      </c>
      <c r="AU87" s="68"/>
      <c r="AV87" s="68"/>
      <c r="AW87" s="68"/>
      <c r="AX87" s="68"/>
      <c r="AY87" s="68"/>
      <c r="AZ87" s="68"/>
      <c r="BA87" s="68"/>
      <c r="BB87" s="68"/>
      <c r="BC87" s="68">
        <v>1</v>
      </c>
      <c r="BD87" s="67" t="str">
        <f>REPLACE(INDEX(GroupVertices[Group],MATCH(Edges37[[#This Row],[Vertex 1]],GroupVertices[Vertex],0)),1,1,"")</f>
        <v>17</v>
      </c>
      <c r="BE87" s="67" t="str">
        <f>REPLACE(INDEX(GroupVertices[Group],MATCH(Edges37[[#This Row],[Vertex 2]],GroupVertices[Vertex],0)),1,1,"")</f>
        <v>17</v>
      </c>
      <c r="BF87" s="49">
        <v>2</v>
      </c>
      <c r="BG87" s="50">
        <v>6.25</v>
      </c>
      <c r="BH87" s="49">
        <v>0</v>
      </c>
      <c r="BI87" s="50">
        <v>0</v>
      </c>
      <c r="BJ87" s="49">
        <v>0</v>
      </c>
      <c r="BK87" s="50">
        <v>0</v>
      </c>
      <c r="BL87" s="49">
        <v>30</v>
      </c>
      <c r="BM87" s="50">
        <v>93.75</v>
      </c>
      <c r="BN87" s="49">
        <v>32</v>
      </c>
    </row>
    <row r="88" spans="1:66" ht="15">
      <c r="A88" s="66" t="s">
        <v>620</v>
      </c>
      <c r="B88" s="66" t="s">
        <v>620</v>
      </c>
      <c r="C88" s="84"/>
      <c r="D88" s="94"/>
      <c r="E88" s="84"/>
      <c r="F88" s="96"/>
      <c r="G88" s="84"/>
      <c r="H88" s="82"/>
      <c r="I88" s="97"/>
      <c r="J88" s="97"/>
      <c r="K88" s="35" t="s">
        <v>65</v>
      </c>
      <c r="L88" s="98">
        <v>103</v>
      </c>
      <c r="M88" s="98"/>
      <c r="N88" s="99"/>
      <c r="O88" s="68" t="s">
        <v>218</v>
      </c>
      <c r="P88" s="70">
        <v>44698.12831018519</v>
      </c>
      <c r="Q88" s="68" t="s">
        <v>687</v>
      </c>
      <c r="R88" s="72" t="str">
        <f>HYPERLINK("https://www.rnz.co.nz/news/political/467287/national-leader-christopher-luxon-says-no-to-corporate-welfare-for-climate-emission-reductions")</f>
        <v>https://www.rnz.co.nz/news/political/467287/national-leader-christopher-luxon-says-no-to-corporate-welfare-for-climate-emission-reductions</v>
      </c>
      <c r="S88" s="68" t="s">
        <v>269</v>
      </c>
      <c r="T88" s="68"/>
      <c r="U88" s="68"/>
      <c r="V88" s="72" t="str">
        <f>HYPERLINK("https://pbs.twimg.com/profile_images/1298490434147164160/f3vP1LJU_normal.jpg")</f>
        <v>https://pbs.twimg.com/profile_images/1298490434147164160/f3vP1LJU_normal.jpg</v>
      </c>
      <c r="W88" s="70">
        <v>44698.12831018519</v>
      </c>
      <c r="X88" s="75">
        <v>44698</v>
      </c>
      <c r="Y88" s="73" t="s">
        <v>807</v>
      </c>
      <c r="Z88" s="72" t="str">
        <f>HYPERLINK("https://twitter.com/radionz/status/1526398291532910597")</f>
        <v>https://twitter.com/radionz/status/1526398291532910597</v>
      </c>
      <c r="AA88" s="68"/>
      <c r="AB88" s="68"/>
      <c r="AC88" s="73" t="s">
        <v>910</v>
      </c>
      <c r="AD88" s="68"/>
      <c r="AE88" s="68" t="b">
        <v>0</v>
      </c>
      <c r="AF88" s="68">
        <v>7</v>
      </c>
      <c r="AG88" s="73" t="s">
        <v>282</v>
      </c>
      <c r="AH88" s="68" t="b">
        <v>0</v>
      </c>
      <c r="AI88" s="68" t="s">
        <v>283</v>
      </c>
      <c r="AJ88" s="68"/>
      <c r="AK88" s="73" t="s">
        <v>282</v>
      </c>
      <c r="AL88" s="68" t="b">
        <v>0</v>
      </c>
      <c r="AM88" s="68">
        <v>2</v>
      </c>
      <c r="AN88" s="73" t="s">
        <v>282</v>
      </c>
      <c r="AO88" s="73" t="s">
        <v>285</v>
      </c>
      <c r="AP88" s="68" t="b">
        <v>0</v>
      </c>
      <c r="AQ88" s="73" t="s">
        <v>910</v>
      </c>
      <c r="AR88" s="68" t="s">
        <v>218</v>
      </c>
      <c r="AS88" s="68">
        <v>0</v>
      </c>
      <c r="AT88" s="68">
        <v>0</v>
      </c>
      <c r="AU88" s="68"/>
      <c r="AV88" s="68"/>
      <c r="AW88" s="68"/>
      <c r="AX88" s="68"/>
      <c r="AY88" s="68"/>
      <c r="AZ88" s="68"/>
      <c r="BA88" s="68"/>
      <c r="BB88" s="68"/>
      <c r="BC88" s="68">
        <v>1</v>
      </c>
      <c r="BD88" s="67" t="str">
        <f>REPLACE(INDEX(GroupVertices[Group],MATCH(Edges37[[#This Row],[Vertex 1]],GroupVertices[Vertex],0)),1,1,"")</f>
        <v>12</v>
      </c>
      <c r="BE88" s="67" t="str">
        <f>REPLACE(INDEX(GroupVertices[Group],MATCH(Edges37[[#This Row],[Vertex 2]],GroupVertices[Vertex],0)),1,1,"")</f>
        <v>12</v>
      </c>
      <c r="BF88" s="49">
        <v>0</v>
      </c>
      <c r="BG88" s="50">
        <v>0</v>
      </c>
      <c r="BH88" s="49">
        <v>0</v>
      </c>
      <c r="BI88" s="50">
        <v>0</v>
      </c>
      <c r="BJ88" s="49">
        <v>0</v>
      </c>
      <c r="BK88" s="50">
        <v>0</v>
      </c>
      <c r="BL88" s="49">
        <v>35</v>
      </c>
      <c r="BM88" s="50">
        <v>100</v>
      </c>
      <c r="BN88" s="49">
        <v>35</v>
      </c>
    </row>
    <row r="89" spans="1:66" ht="15">
      <c r="A89" s="66" t="s">
        <v>621</v>
      </c>
      <c r="B89" s="66" t="s">
        <v>620</v>
      </c>
      <c r="C89" s="84"/>
      <c r="D89" s="94"/>
      <c r="E89" s="84"/>
      <c r="F89" s="96"/>
      <c r="G89" s="84"/>
      <c r="H89" s="82"/>
      <c r="I89" s="97"/>
      <c r="J89" s="97"/>
      <c r="K89" s="35" t="s">
        <v>65</v>
      </c>
      <c r="L89" s="98">
        <v>104</v>
      </c>
      <c r="M89" s="98"/>
      <c r="N89" s="99"/>
      <c r="O89" s="68" t="s">
        <v>262</v>
      </c>
      <c r="P89" s="70">
        <v>44698.14424768519</v>
      </c>
      <c r="Q89" s="68" t="s">
        <v>687</v>
      </c>
      <c r="R89" s="72" t="str">
        <f>HYPERLINK("https://www.rnz.co.nz/news/political/467287/national-leader-christopher-luxon-says-no-to-corporate-welfare-for-climate-emission-reductions")</f>
        <v>https://www.rnz.co.nz/news/political/467287/national-leader-christopher-luxon-says-no-to-corporate-welfare-for-climate-emission-reductions</v>
      </c>
      <c r="S89" s="68" t="s">
        <v>269</v>
      </c>
      <c r="T89" s="68"/>
      <c r="U89" s="68"/>
      <c r="V89" s="72" t="str">
        <f>HYPERLINK("https://pbs.twimg.com/profile_images/1511890587586560000/xGb_Dq_D_normal.jpg")</f>
        <v>https://pbs.twimg.com/profile_images/1511890587586560000/xGb_Dq_D_normal.jpg</v>
      </c>
      <c r="W89" s="70">
        <v>44698.14424768519</v>
      </c>
      <c r="X89" s="75">
        <v>44698</v>
      </c>
      <c r="Y89" s="73" t="s">
        <v>808</v>
      </c>
      <c r="Z89" s="72" t="str">
        <f>HYPERLINK("https://twitter.com/lordfusitua/status/1526404068608200704")</f>
        <v>https://twitter.com/lordfusitua/status/1526404068608200704</v>
      </c>
      <c r="AA89" s="68"/>
      <c r="AB89" s="68"/>
      <c r="AC89" s="73" t="s">
        <v>911</v>
      </c>
      <c r="AD89" s="68"/>
      <c r="AE89" s="68" t="b">
        <v>0</v>
      </c>
      <c r="AF89" s="68">
        <v>0</v>
      </c>
      <c r="AG89" s="73" t="s">
        <v>282</v>
      </c>
      <c r="AH89" s="68" t="b">
        <v>0</v>
      </c>
      <c r="AI89" s="68" t="s">
        <v>283</v>
      </c>
      <c r="AJ89" s="68"/>
      <c r="AK89" s="73" t="s">
        <v>282</v>
      </c>
      <c r="AL89" s="68" t="b">
        <v>0</v>
      </c>
      <c r="AM89" s="68">
        <v>2</v>
      </c>
      <c r="AN89" s="73" t="s">
        <v>910</v>
      </c>
      <c r="AO89" s="73" t="s">
        <v>284</v>
      </c>
      <c r="AP89" s="68" t="b">
        <v>0</v>
      </c>
      <c r="AQ89" s="73" t="s">
        <v>910</v>
      </c>
      <c r="AR89" s="68" t="s">
        <v>218</v>
      </c>
      <c r="AS89" s="68">
        <v>0</v>
      </c>
      <c r="AT89" s="68">
        <v>0</v>
      </c>
      <c r="AU89" s="68"/>
      <c r="AV89" s="68"/>
      <c r="AW89" s="68"/>
      <c r="AX89" s="68"/>
      <c r="AY89" s="68"/>
      <c r="AZ89" s="68"/>
      <c r="BA89" s="68"/>
      <c r="BB89" s="68"/>
      <c r="BC89" s="68">
        <v>1</v>
      </c>
      <c r="BD89" s="67" t="str">
        <f>REPLACE(INDEX(GroupVertices[Group],MATCH(Edges37[[#This Row],[Vertex 1]],GroupVertices[Vertex],0)),1,1,"")</f>
        <v>12</v>
      </c>
      <c r="BE89" s="67" t="str">
        <f>REPLACE(INDEX(GroupVertices[Group],MATCH(Edges37[[#This Row],[Vertex 2]],GroupVertices[Vertex],0)),1,1,"")</f>
        <v>12</v>
      </c>
      <c r="BF89" s="49">
        <v>0</v>
      </c>
      <c r="BG89" s="50">
        <v>0</v>
      </c>
      <c r="BH89" s="49">
        <v>0</v>
      </c>
      <c r="BI89" s="50">
        <v>0</v>
      </c>
      <c r="BJ89" s="49">
        <v>0</v>
      </c>
      <c r="BK89" s="50">
        <v>0</v>
      </c>
      <c r="BL89" s="49">
        <v>35</v>
      </c>
      <c r="BM89" s="50">
        <v>100</v>
      </c>
      <c r="BN89" s="49">
        <v>35</v>
      </c>
    </row>
    <row r="90" spans="1:66" ht="15">
      <c r="A90" s="66" t="s">
        <v>622</v>
      </c>
      <c r="B90" s="66" t="s">
        <v>629</v>
      </c>
      <c r="C90" s="84"/>
      <c r="D90" s="94"/>
      <c r="E90" s="84"/>
      <c r="F90" s="96"/>
      <c r="G90" s="84"/>
      <c r="H90" s="82"/>
      <c r="I90" s="97"/>
      <c r="J90" s="97"/>
      <c r="K90" s="35" t="s">
        <v>65</v>
      </c>
      <c r="L90" s="98">
        <v>105</v>
      </c>
      <c r="M90" s="98"/>
      <c r="N90" s="99"/>
      <c r="O90" s="68" t="s">
        <v>262</v>
      </c>
      <c r="P90" s="70">
        <v>44698.147465277776</v>
      </c>
      <c r="Q90" s="68" t="s">
        <v>671</v>
      </c>
      <c r="R90" s="68"/>
      <c r="S90" s="68"/>
      <c r="T90" s="68"/>
      <c r="U90" s="68"/>
      <c r="V90" s="72" t="str">
        <f>HYPERLINK("https://pbs.twimg.com/profile_images/1116976358184214529/9Xp3aqge_normal.jpg")</f>
        <v>https://pbs.twimg.com/profile_images/1116976358184214529/9Xp3aqge_normal.jpg</v>
      </c>
      <c r="W90" s="70">
        <v>44698.147465277776</v>
      </c>
      <c r="X90" s="75">
        <v>44698</v>
      </c>
      <c r="Y90" s="73" t="s">
        <v>809</v>
      </c>
      <c r="Z90" s="72" t="str">
        <f>HYPERLINK("https://twitter.com/emuga12/status/1526405231504142336")</f>
        <v>https://twitter.com/emuga12/status/1526405231504142336</v>
      </c>
      <c r="AA90" s="68"/>
      <c r="AB90" s="68"/>
      <c r="AC90" s="73" t="s">
        <v>912</v>
      </c>
      <c r="AD90" s="68"/>
      <c r="AE90" s="68" t="b">
        <v>0</v>
      </c>
      <c r="AF90" s="68">
        <v>0</v>
      </c>
      <c r="AG90" s="73" t="s">
        <v>282</v>
      </c>
      <c r="AH90" s="68" t="b">
        <v>0</v>
      </c>
      <c r="AI90" s="68" t="s">
        <v>283</v>
      </c>
      <c r="AJ90" s="68"/>
      <c r="AK90" s="73" t="s">
        <v>282</v>
      </c>
      <c r="AL90" s="68" t="b">
        <v>0</v>
      </c>
      <c r="AM90" s="68">
        <v>11</v>
      </c>
      <c r="AN90" s="73" t="s">
        <v>919</v>
      </c>
      <c r="AO90" s="73" t="s">
        <v>284</v>
      </c>
      <c r="AP90" s="68" t="b">
        <v>0</v>
      </c>
      <c r="AQ90" s="73" t="s">
        <v>919</v>
      </c>
      <c r="AR90" s="68" t="s">
        <v>218</v>
      </c>
      <c r="AS90" s="68">
        <v>0</v>
      </c>
      <c r="AT90" s="68">
        <v>0</v>
      </c>
      <c r="AU90" s="68"/>
      <c r="AV90" s="68"/>
      <c r="AW90" s="68"/>
      <c r="AX90" s="68"/>
      <c r="AY90" s="68"/>
      <c r="AZ90" s="68"/>
      <c r="BA90" s="68"/>
      <c r="BB90" s="68"/>
      <c r="BC90" s="68">
        <v>1</v>
      </c>
      <c r="BD90" s="67" t="str">
        <f>REPLACE(INDEX(GroupVertices[Group],MATCH(Edges37[[#This Row],[Vertex 1]],GroupVertices[Vertex],0)),1,1,"")</f>
        <v>1</v>
      </c>
      <c r="BE90" s="67" t="str">
        <f>REPLACE(INDEX(GroupVertices[Group],MATCH(Edges37[[#This Row],[Vertex 2]],GroupVertices[Vertex],0)),1,1,"")</f>
        <v>1</v>
      </c>
      <c r="BF90" s="49">
        <v>1</v>
      </c>
      <c r="BG90" s="50">
        <v>2.272727272727273</v>
      </c>
      <c r="BH90" s="49">
        <v>0</v>
      </c>
      <c r="BI90" s="50">
        <v>0</v>
      </c>
      <c r="BJ90" s="49">
        <v>0</v>
      </c>
      <c r="BK90" s="50">
        <v>0</v>
      </c>
      <c r="BL90" s="49">
        <v>43</v>
      </c>
      <c r="BM90" s="50">
        <v>97.72727272727273</v>
      </c>
      <c r="BN90" s="49">
        <v>44</v>
      </c>
    </row>
    <row r="91" spans="1:66" ht="15">
      <c r="A91" s="66" t="s">
        <v>623</v>
      </c>
      <c r="B91" s="66" t="s">
        <v>649</v>
      </c>
      <c r="C91" s="84"/>
      <c r="D91" s="94"/>
      <c r="E91" s="84"/>
      <c r="F91" s="96"/>
      <c r="G91" s="84"/>
      <c r="H91" s="82"/>
      <c r="I91" s="97"/>
      <c r="J91" s="97"/>
      <c r="K91" s="35" t="s">
        <v>65</v>
      </c>
      <c r="L91" s="98">
        <v>106</v>
      </c>
      <c r="M91" s="98"/>
      <c r="N91" s="99"/>
      <c r="O91" s="68" t="s">
        <v>263</v>
      </c>
      <c r="P91" s="70">
        <v>44698.005428240744</v>
      </c>
      <c r="Q91" s="68" t="s">
        <v>689</v>
      </c>
      <c r="R91" s="72" t="str">
        <f>HYPERLINK("https://thespinoff.co.nz/politics/17-05-2022/the-erp-is-a-step-in-the-right-direction-but-wheres-the-ambition")</f>
        <v>https://thespinoff.co.nz/politics/17-05-2022/the-erp-is-a-step-in-the-right-direction-but-wheres-the-ambition</v>
      </c>
      <c r="S91" s="68" t="s">
        <v>269</v>
      </c>
      <c r="T91" s="68"/>
      <c r="U91" s="68"/>
      <c r="V91" s="72" t="str">
        <f>HYPERLINK("https://pbs.twimg.com/profile_images/1364502007055142912/VYk1wxxp_normal.jpg")</f>
        <v>https://pbs.twimg.com/profile_images/1364502007055142912/VYk1wxxp_normal.jpg</v>
      </c>
      <c r="W91" s="70">
        <v>44698.005428240744</v>
      </c>
      <c r="X91" s="75">
        <v>44698</v>
      </c>
      <c r="Y91" s="73" t="s">
        <v>810</v>
      </c>
      <c r="Z91" s="72" t="str">
        <f>HYPERLINK("https://twitter.com/garethhughesnz/status/1526353762180550656")</f>
        <v>https://twitter.com/garethhughesnz/status/1526353762180550656</v>
      </c>
      <c r="AA91" s="68"/>
      <c r="AB91" s="68"/>
      <c r="AC91" s="73" t="s">
        <v>913</v>
      </c>
      <c r="AD91" s="68"/>
      <c r="AE91" s="68" t="b">
        <v>0</v>
      </c>
      <c r="AF91" s="68">
        <v>8</v>
      </c>
      <c r="AG91" s="73" t="s">
        <v>282</v>
      </c>
      <c r="AH91" s="68" t="b">
        <v>0</v>
      </c>
      <c r="AI91" s="68" t="s">
        <v>283</v>
      </c>
      <c r="AJ91" s="68"/>
      <c r="AK91" s="73" t="s">
        <v>282</v>
      </c>
      <c r="AL91" s="68" t="b">
        <v>0</v>
      </c>
      <c r="AM91" s="68">
        <v>1</v>
      </c>
      <c r="AN91" s="73" t="s">
        <v>282</v>
      </c>
      <c r="AO91" s="73" t="s">
        <v>284</v>
      </c>
      <c r="AP91" s="68" t="b">
        <v>0</v>
      </c>
      <c r="AQ91" s="73" t="s">
        <v>913</v>
      </c>
      <c r="AR91" s="68" t="s">
        <v>218</v>
      </c>
      <c r="AS91" s="68">
        <v>0</v>
      </c>
      <c r="AT91" s="68">
        <v>0</v>
      </c>
      <c r="AU91" s="68"/>
      <c r="AV91" s="68"/>
      <c r="AW91" s="68"/>
      <c r="AX91" s="68"/>
      <c r="AY91" s="68"/>
      <c r="AZ91" s="68"/>
      <c r="BA91" s="68"/>
      <c r="BB91" s="68"/>
      <c r="BC91" s="68">
        <v>1</v>
      </c>
      <c r="BD91" s="67" t="str">
        <f>REPLACE(INDEX(GroupVertices[Group],MATCH(Edges37[[#This Row],[Vertex 1]],GroupVertices[Vertex],0)),1,1,"")</f>
        <v>11</v>
      </c>
      <c r="BE91" s="67" t="str">
        <f>REPLACE(INDEX(GroupVertices[Group],MATCH(Edges37[[#This Row],[Vertex 2]],GroupVertices[Vertex],0)),1,1,"")</f>
        <v>11</v>
      </c>
      <c r="BF91" s="49">
        <v>0</v>
      </c>
      <c r="BG91" s="50">
        <v>0</v>
      </c>
      <c r="BH91" s="49">
        <v>0</v>
      </c>
      <c r="BI91" s="50">
        <v>0</v>
      </c>
      <c r="BJ91" s="49">
        <v>0</v>
      </c>
      <c r="BK91" s="50">
        <v>0</v>
      </c>
      <c r="BL91" s="49">
        <v>26</v>
      </c>
      <c r="BM91" s="50">
        <v>100</v>
      </c>
      <c r="BN91" s="49">
        <v>26</v>
      </c>
    </row>
    <row r="92" spans="1:66" ht="15">
      <c r="A92" s="66" t="s">
        <v>624</v>
      </c>
      <c r="B92" s="66" t="s">
        <v>649</v>
      </c>
      <c r="C92" s="84"/>
      <c r="D92" s="94"/>
      <c r="E92" s="84"/>
      <c r="F92" s="96"/>
      <c r="G92" s="84"/>
      <c r="H92" s="82"/>
      <c r="I92" s="97"/>
      <c r="J92" s="97"/>
      <c r="K92" s="35" t="s">
        <v>65</v>
      </c>
      <c r="L92" s="98">
        <v>107</v>
      </c>
      <c r="M92" s="98"/>
      <c r="N92" s="99"/>
      <c r="O92" s="68" t="s">
        <v>264</v>
      </c>
      <c r="P92" s="70">
        <v>44698.31383101852</v>
      </c>
      <c r="Q92" s="68" t="s">
        <v>689</v>
      </c>
      <c r="R92" s="72" t="str">
        <f>HYPERLINK("https://thespinoff.co.nz/politics/17-05-2022/the-erp-is-a-step-in-the-right-direction-but-wheres-the-ambition")</f>
        <v>https://thespinoff.co.nz/politics/17-05-2022/the-erp-is-a-step-in-the-right-direction-but-wheres-the-ambition</v>
      </c>
      <c r="S92" s="68" t="s">
        <v>269</v>
      </c>
      <c r="T92" s="68"/>
      <c r="U92" s="68"/>
      <c r="V92" s="72" t="str">
        <f>HYPERLINK("https://pbs.twimg.com/profile_images/1526754636014579713/oQvAjr0Y_normal.jpg")</f>
        <v>https://pbs.twimg.com/profile_images/1526754636014579713/oQvAjr0Y_normal.jpg</v>
      </c>
      <c r="W92" s="70">
        <v>44698.31383101852</v>
      </c>
      <c r="X92" s="75">
        <v>44698</v>
      </c>
      <c r="Y92" s="73" t="s">
        <v>811</v>
      </c>
      <c r="Z92" s="72" t="str">
        <f>HYPERLINK("https://twitter.com/weall_aotearoa/status/1526465521134485510")</f>
        <v>https://twitter.com/weall_aotearoa/status/1526465521134485510</v>
      </c>
      <c r="AA92" s="68"/>
      <c r="AB92" s="68"/>
      <c r="AC92" s="73" t="s">
        <v>914</v>
      </c>
      <c r="AD92" s="68"/>
      <c r="AE92" s="68" t="b">
        <v>0</v>
      </c>
      <c r="AF92" s="68">
        <v>0</v>
      </c>
      <c r="AG92" s="73" t="s">
        <v>282</v>
      </c>
      <c r="AH92" s="68" t="b">
        <v>0</v>
      </c>
      <c r="AI92" s="68" t="s">
        <v>283</v>
      </c>
      <c r="AJ92" s="68"/>
      <c r="AK92" s="73" t="s">
        <v>282</v>
      </c>
      <c r="AL92" s="68" t="b">
        <v>0</v>
      </c>
      <c r="AM92" s="68">
        <v>1</v>
      </c>
      <c r="AN92" s="73" t="s">
        <v>913</v>
      </c>
      <c r="AO92" s="73" t="s">
        <v>284</v>
      </c>
      <c r="AP92" s="68" t="b">
        <v>0</v>
      </c>
      <c r="AQ92" s="73" t="s">
        <v>913</v>
      </c>
      <c r="AR92" s="68" t="s">
        <v>218</v>
      </c>
      <c r="AS92" s="68">
        <v>0</v>
      </c>
      <c r="AT92" s="68">
        <v>0</v>
      </c>
      <c r="AU92" s="68"/>
      <c r="AV92" s="68"/>
      <c r="AW92" s="68"/>
      <c r="AX92" s="68"/>
      <c r="AY92" s="68"/>
      <c r="AZ92" s="68"/>
      <c r="BA92" s="68"/>
      <c r="BB92" s="68"/>
      <c r="BC92" s="68">
        <v>1</v>
      </c>
      <c r="BD92" s="67" t="str">
        <f>REPLACE(INDEX(GroupVertices[Group],MATCH(Edges37[[#This Row],[Vertex 1]],GroupVertices[Vertex],0)),1,1,"")</f>
        <v>11</v>
      </c>
      <c r="BE92" s="67" t="str">
        <f>REPLACE(INDEX(GroupVertices[Group],MATCH(Edges37[[#This Row],[Vertex 2]],GroupVertices[Vertex],0)),1,1,"")</f>
        <v>11</v>
      </c>
      <c r="BF92" s="49"/>
      <c r="BG92" s="50"/>
      <c r="BH92" s="49"/>
      <c r="BI92" s="50"/>
      <c r="BJ92" s="49"/>
      <c r="BK92" s="50"/>
      <c r="BL92" s="49"/>
      <c r="BM92" s="50"/>
      <c r="BN92" s="49"/>
    </row>
    <row r="93" spans="1:66" ht="15">
      <c r="A93" s="66" t="s">
        <v>625</v>
      </c>
      <c r="B93" s="66" t="s">
        <v>625</v>
      </c>
      <c r="C93" s="84"/>
      <c r="D93" s="94"/>
      <c r="E93" s="84"/>
      <c r="F93" s="96"/>
      <c r="G93" s="84"/>
      <c r="H93" s="82"/>
      <c r="I93" s="97"/>
      <c r="J93" s="97"/>
      <c r="K93" s="35" t="s">
        <v>65</v>
      </c>
      <c r="L93" s="98">
        <v>109</v>
      </c>
      <c r="M93" s="98"/>
      <c r="N93" s="99"/>
      <c r="O93" s="68" t="s">
        <v>218</v>
      </c>
      <c r="P93" s="70">
        <v>44697.08954861111</v>
      </c>
      <c r="Q93" s="68" t="s">
        <v>673</v>
      </c>
      <c r="R93" s="68"/>
      <c r="S93" s="68"/>
      <c r="T93" s="68"/>
      <c r="U93" s="68"/>
      <c r="V93" s="72" t="str">
        <f>HYPERLINK("https://pbs.twimg.com/profile_images/1438825798664790022/_-j5pae4_normal.jpg")</f>
        <v>https://pbs.twimg.com/profile_images/1438825798664790022/_-j5pae4_normal.jpg</v>
      </c>
      <c r="W93" s="70">
        <v>44697.08954861111</v>
      </c>
      <c r="X93" s="75">
        <v>44697</v>
      </c>
      <c r="Y93" s="73" t="s">
        <v>812</v>
      </c>
      <c r="Z93" s="72" t="str">
        <f>HYPERLINK("https://twitter.com/climatejusticet/status/1526021856079511552")</f>
        <v>https://twitter.com/climatejusticet/status/1526021856079511552</v>
      </c>
      <c r="AA93" s="68"/>
      <c r="AB93" s="68"/>
      <c r="AC93" s="73" t="s">
        <v>915</v>
      </c>
      <c r="AD93" s="68"/>
      <c r="AE93" s="68" t="b">
        <v>0</v>
      </c>
      <c r="AF93" s="68">
        <v>69</v>
      </c>
      <c r="AG93" s="73" t="s">
        <v>282</v>
      </c>
      <c r="AH93" s="68" t="b">
        <v>0</v>
      </c>
      <c r="AI93" s="68" t="s">
        <v>283</v>
      </c>
      <c r="AJ93" s="68"/>
      <c r="AK93" s="73" t="s">
        <v>282</v>
      </c>
      <c r="AL93" s="68" t="b">
        <v>0</v>
      </c>
      <c r="AM93" s="68">
        <v>14</v>
      </c>
      <c r="AN93" s="73" t="s">
        <v>282</v>
      </c>
      <c r="AO93" s="73" t="s">
        <v>285</v>
      </c>
      <c r="AP93" s="68" t="b">
        <v>0</v>
      </c>
      <c r="AQ93" s="73" t="s">
        <v>915</v>
      </c>
      <c r="AR93" s="68" t="s">
        <v>218</v>
      </c>
      <c r="AS93" s="68">
        <v>0</v>
      </c>
      <c r="AT93" s="68">
        <v>0</v>
      </c>
      <c r="AU93" s="68"/>
      <c r="AV93" s="68"/>
      <c r="AW93" s="68"/>
      <c r="AX93" s="68"/>
      <c r="AY93" s="68"/>
      <c r="AZ93" s="68"/>
      <c r="BA93" s="68"/>
      <c r="BB93" s="68"/>
      <c r="BC93" s="68">
        <v>1</v>
      </c>
      <c r="BD93" s="67" t="str">
        <f>REPLACE(INDEX(GroupVertices[Group],MATCH(Edges37[[#This Row],[Vertex 1]],GroupVertices[Vertex],0)),1,1,"")</f>
        <v>3</v>
      </c>
      <c r="BE93" s="67" t="str">
        <f>REPLACE(INDEX(GroupVertices[Group],MATCH(Edges37[[#This Row],[Vertex 2]],GroupVertices[Vertex],0)),1,1,"")</f>
        <v>3</v>
      </c>
      <c r="BF93" s="49">
        <v>1</v>
      </c>
      <c r="BG93" s="50">
        <v>2.3255813953488373</v>
      </c>
      <c r="BH93" s="49">
        <v>0</v>
      </c>
      <c r="BI93" s="50">
        <v>0</v>
      </c>
      <c r="BJ93" s="49">
        <v>0</v>
      </c>
      <c r="BK93" s="50">
        <v>0</v>
      </c>
      <c r="BL93" s="49">
        <v>42</v>
      </c>
      <c r="BM93" s="50">
        <v>97.67441860465117</v>
      </c>
      <c r="BN93" s="49">
        <v>43</v>
      </c>
    </row>
    <row r="94" spans="1:66" ht="15">
      <c r="A94" s="66" t="s">
        <v>626</v>
      </c>
      <c r="B94" s="66" t="s">
        <v>625</v>
      </c>
      <c r="C94" s="84"/>
      <c r="D94" s="94"/>
      <c r="E94" s="84"/>
      <c r="F94" s="96"/>
      <c r="G94" s="84"/>
      <c r="H94" s="82"/>
      <c r="I94" s="97"/>
      <c r="J94" s="97"/>
      <c r="K94" s="35" t="s">
        <v>65</v>
      </c>
      <c r="L94" s="98">
        <v>110</v>
      </c>
      <c r="M94" s="98"/>
      <c r="N94" s="99"/>
      <c r="O94" s="68" t="s">
        <v>262</v>
      </c>
      <c r="P94" s="70">
        <v>44698.35832175926</v>
      </c>
      <c r="Q94" s="68" t="s">
        <v>673</v>
      </c>
      <c r="R94" s="68"/>
      <c r="S94" s="68"/>
      <c r="T94" s="68"/>
      <c r="U94" s="68"/>
      <c r="V94" s="72" t="str">
        <f>HYPERLINK("https://pbs.twimg.com/profile_images/1512171613139378176/dHrGkvuq_normal.jpg")</f>
        <v>https://pbs.twimg.com/profile_images/1512171613139378176/dHrGkvuq_normal.jpg</v>
      </c>
      <c r="W94" s="70">
        <v>44698.35832175926</v>
      </c>
      <c r="X94" s="75">
        <v>44698</v>
      </c>
      <c r="Y94" s="73" t="s">
        <v>813</v>
      </c>
      <c r="Z94" s="72" t="str">
        <f>HYPERLINK("https://twitter.com/envirdebbie/status/1526481643485413377")</f>
        <v>https://twitter.com/envirdebbie/status/1526481643485413377</v>
      </c>
      <c r="AA94" s="68"/>
      <c r="AB94" s="68"/>
      <c r="AC94" s="73" t="s">
        <v>916</v>
      </c>
      <c r="AD94" s="68"/>
      <c r="AE94" s="68" t="b">
        <v>0</v>
      </c>
      <c r="AF94" s="68">
        <v>0</v>
      </c>
      <c r="AG94" s="73" t="s">
        <v>282</v>
      </c>
      <c r="AH94" s="68" t="b">
        <v>0</v>
      </c>
      <c r="AI94" s="68" t="s">
        <v>283</v>
      </c>
      <c r="AJ94" s="68"/>
      <c r="AK94" s="73" t="s">
        <v>282</v>
      </c>
      <c r="AL94" s="68" t="b">
        <v>0</v>
      </c>
      <c r="AM94" s="68">
        <v>14</v>
      </c>
      <c r="AN94" s="73" t="s">
        <v>915</v>
      </c>
      <c r="AO94" s="73" t="s">
        <v>284</v>
      </c>
      <c r="AP94" s="68" t="b">
        <v>0</v>
      </c>
      <c r="AQ94" s="73" t="s">
        <v>915</v>
      </c>
      <c r="AR94" s="68" t="s">
        <v>218</v>
      </c>
      <c r="AS94" s="68">
        <v>0</v>
      </c>
      <c r="AT94" s="68">
        <v>0</v>
      </c>
      <c r="AU94" s="68"/>
      <c r="AV94" s="68"/>
      <c r="AW94" s="68"/>
      <c r="AX94" s="68"/>
      <c r="AY94" s="68"/>
      <c r="AZ94" s="68"/>
      <c r="BA94" s="68"/>
      <c r="BB94" s="68"/>
      <c r="BC94" s="68">
        <v>1</v>
      </c>
      <c r="BD94" s="67" t="str">
        <f>REPLACE(INDEX(GroupVertices[Group],MATCH(Edges37[[#This Row],[Vertex 1]],GroupVertices[Vertex],0)),1,1,"")</f>
        <v>3</v>
      </c>
      <c r="BE94" s="67" t="str">
        <f>REPLACE(INDEX(GroupVertices[Group],MATCH(Edges37[[#This Row],[Vertex 2]],GroupVertices[Vertex],0)),1,1,"")</f>
        <v>3</v>
      </c>
      <c r="BF94" s="49">
        <v>1</v>
      </c>
      <c r="BG94" s="50">
        <v>2.3255813953488373</v>
      </c>
      <c r="BH94" s="49">
        <v>0</v>
      </c>
      <c r="BI94" s="50">
        <v>0</v>
      </c>
      <c r="BJ94" s="49">
        <v>0</v>
      </c>
      <c r="BK94" s="50">
        <v>0</v>
      </c>
      <c r="BL94" s="49">
        <v>42</v>
      </c>
      <c r="BM94" s="50">
        <v>97.67441860465117</v>
      </c>
      <c r="BN94" s="49">
        <v>43</v>
      </c>
    </row>
    <row r="95" spans="1:66" ht="15">
      <c r="A95" s="66" t="s">
        <v>627</v>
      </c>
      <c r="B95" s="66" t="s">
        <v>650</v>
      </c>
      <c r="C95" s="84"/>
      <c r="D95" s="94"/>
      <c r="E95" s="84"/>
      <c r="F95" s="96"/>
      <c r="G95" s="84"/>
      <c r="H95" s="82"/>
      <c r="I95" s="97"/>
      <c r="J95" s="97"/>
      <c r="K95" s="35" t="s">
        <v>65</v>
      </c>
      <c r="L95" s="98">
        <v>111</v>
      </c>
      <c r="M95" s="98"/>
      <c r="N95" s="99"/>
      <c r="O95" s="68" t="s">
        <v>263</v>
      </c>
      <c r="P95" s="70">
        <v>44698.36976851852</v>
      </c>
      <c r="Q95" s="68" t="s">
        <v>690</v>
      </c>
      <c r="R95" s="68"/>
      <c r="S95" s="68"/>
      <c r="T95" s="73" t="s">
        <v>719</v>
      </c>
      <c r="U95" s="68"/>
      <c r="V95" s="72" t="str">
        <f>HYPERLINK("https://pbs.twimg.com/profile_images/1124518934995013632/e7CqR2Cn_normal.jpg")</f>
        <v>https://pbs.twimg.com/profile_images/1124518934995013632/e7CqR2Cn_normal.jpg</v>
      </c>
      <c r="W95" s="70">
        <v>44698.36976851852</v>
      </c>
      <c r="X95" s="75">
        <v>44698</v>
      </c>
      <c r="Y95" s="73" t="s">
        <v>814</v>
      </c>
      <c r="Z95" s="72" t="str">
        <f>HYPERLINK("https://twitter.com/needlesineyes/status/1526485792893284354")</f>
        <v>https://twitter.com/needlesineyes/status/1526485792893284354</v>
      </c>
      <c r="AA95" s="68"/>
      <c r="AB95" s="68"/>
      <c r="AC95" s="73" t="s">
        <v>917</v>
      </c>
      <c r="AD95" s="68"/>
      <c r="AE95" s="68" t="b">
        <v>0</v>
      </c>
      <c r="AF95" s="68">
        <v>0</v>
      </c>
      <c r="AG95" s="73" t="s">
        <v>282</v>
      </c>
      <c r="AH95" s="68" t="b">
        <v>0</v>
      </c>
      <c r="AI95" s="68" t="s">
        <v>283</v>
      </c>
      <c r="AJ95" s="68"/>
      <c r="AK95" s="73" t="s">
        <v>282</v>
      </c>
      <c r="AL95" s="68" t="b">
        <v>0</v>
      </c>
      <c r="AM95" s="68">
        <v>0</v>
      </c>
      <c r="AN95" s="73" t="s">
        <v>282</v>
      </c>
      <c r="AO95" s="73" t="s">
        <v>284</v>
      </c>
      <c r="AP95" s="68" t="b">
        <v>0</v>
      </c>
      <c r="AQ95" s="73" t="s">
        <v>917</v>
      </c>
      <c r="AR95" s="68" t="s">
        <v>218</v>
      </c>
      <c r="AS95" s="68">
        <v>0</v>
      </c>
      <c r="AT95" s="68">
        <v>0</v>
      </c>
      <c r="AU95" s="68"/>
      <c r="AV95" s="68"/>
      <c r="AW95" s="68"/>
      <c r="AX95" s="68"/>
      <c r="AY95" s="68"/>
      <c r="AZ95" s="68"/>
      <c r="BA95" s="68"/>
      <c r="BB95" s="68"/>
      <c r="BC95" s="68">
        <v>1</v>
      </c>
      <c r="BD95" s="67" t="str">
        <f>REPLACE(INDEX(GroupVertices[Group],MATCH(Edges37[[#This Row],[Vertex 1]],GroupVertices[Vertex],0)),1,1,"")</f>
        <v>16</v>
      </c>
      <c r="BE95" s="67" t="str">
        <f>REPLACE(INDEX(GroupVertices[Group],MATCH(Edges37[[#This Row],[Vertex 2]],GroupVertices[Vertex],0)),1,1,"")</f>
        <v>16</v>
      </c>
      <c r="BF95" s="49">
        <v>0</v>
      </c>
      <c r="BG95" s="50">
        <v>0</v>
      </c>
      <c r="BH95" s="49">
        <v>0</v>
      </c>
      <c r="BI95" s="50">
        <v>0</v>
      </c>
      <c r="BJ95" s="49">
        <v>0</v>
      </c>
      <c r="BK95" s="50">
        <v>0</v>
      </c>
      <c r="BL95" s="49">
        <v>45</v>
      </c>
      <c r="BM95" s="50">
        <v>100</v>
      </c>
      <c r="BN95" s="49">
        <v>45</v>
      </c>
    </row>
    <row r="96" spans="1:66" ht="15">
      <c r="A96" s="66" t="s">
        <v>260</v>
      </c>
      <c r="B96" s="66" t="s">
        <v>260</v>
      </c>
      <c r="C96" s="84"/>
      <c r="D96" s="94"/>
      <c r="E96" s="84"/>
      <c r="F96" s="96"/>
      <c r="G96" s="84"/>
      <c r="H96" s="82"/>
      <c r="I96" s="97"/>
      <c r="J96" s="97"/>
      <c r="K96" s="35" t="s">
        <v>65</v>
      </c>
      <c r="L96" s="98">
        <v>112</v>
      </c>
      <c r="M96" s="98"/>
      <c r="N96" s="99"/>
      <c r="O96" s="68" t="s">
        <v>218</v>
      </c>
      <c r="P96" s="70">
        <v>44698.4234375</v>
      </c>
      <c r="Q96" s="68" t="s">
        <v>265</v>
      </c>
      <c r="R96" s="72" t="str">
        <f>HYPERLINK("https://truthusa.us/business-news/new-zealand-government-to-use-emission-trading-scheme-to-fund-ev-rollout/")</f>
        <v>https://truthusa.us/business-news/new-zealand-government-to-use-emission-trading-scheme-to-fund-ev-rollout/</v>
      </c>
      <c r="S96" s="68" t="s">
        <v>268</v>
      </c>
      <c r="T96" s="68"/>
      <c r="U96" s="72" t="str">
        <f>HYPERLINK("https://pbs.twimg.com/media/FS88bgXWQAEDE5I.jpg")</f>
        <v>https://pbs.twimg.com/media/FS88bgXWQAEDE5I.jpg</v>
      </c>
      <c r="V96" s="72" t="str">
        <f>HYPERLINK("https://pbs.twimg.com/media/FS88bgXWQAEDE5I.jpg")</f>
        <v>https://pbs.twimg.com/media/FS88bgXWQAEDE5I.jpg</v>
      </c>
      <c r="W96" s="70">
        <v>44698.4234375</v>
      </c>
      <c r="X96" s="75">
        <v>44698</v>
      </c>
      <c r="Y96" s="73" t="s">
        <v>276</v>
      </c>
      <c r="Z96" s="72" t="str">
        <f>HYPERLINK("https://twitter.com/izzorv6/status/1526505243541913600")</f>
        <v>https://twitter.com/izzorv6/status/1526505243541913600</v>
      </c>
      <c r="AA96" s="68"/>
      <c r="AB96" s="68"/>
      <c r="AC96" s="73" t="s">
        <v>281</v>
      </c>
      <c r="AD96" s="68"/>
      <c r="AE96" s="68" t="b">
        <v>0</v>
      </c>
      <c r="AF96" s="68">
        <v>1</v>
      </c>
      <c r="AG96" s="73" t="s">
        <v>282</v>
      </c>
      <c r="AH96" s="68" t="b">
        <v>0</v>
      </c>
      <c r="AI96" s="68" t="s">
        <v>283</v>
      </c>
      <c r="AJ96" s="68"/>
      <c r="AK96" s="73" t="s">
        <v>282</v>
      </c>
      <c r="AL96" s="68" t="b">
        <v>0</v>
      </c>
      <c r="AM96" s="68">
        <v>1</v>
      </c>
      <c r="AN96" s="73" t="s">
        <v>282</v>
      </c>
      <c r="AO96" s="73" t="s">
        <v>287</v>
      </c>
      <c r="AP96" s="68" t="b">
        <v>0</v>
      </c>
      <c r="AQ96" s="73" t="s">
        <v>281</v>
      </c>
      <c r="AR96" s="68" t="s">
        <v>218</v>
      </c>
      <c r="AS96" s="68">
        <v>0</v>
      </c>
      <c r="AT96" s="68">
        <v>0</v>
      </c>
      <c r="AU96" s="68"/>
      <c r="AV96" s="68"/>
      <c r="AW96" s="68"/>
      <c r="AX96" s="68"/>
      <c r="AY96" s="68"/>
      <c r="AZ96" s="68"/>
      <c r="BA96" s="68"/>
      <c r="BB96" s="68"/>
      <c r="BC96" s="68">
        <v>1</v>
      </c>
      <c r="BD96" s="67" t="str">
        <f>REPLACE(INDEX(GroupVertices[Group],MATCH(Edges37[[#This Row],[Vertex 1]],GroupVertices[Vertex],0)),1,1,"")</f>
        <v>15</v>
      </c>
      <c r="BE96" s="67" t="str">
        <f>REPLACE(INDEX(GroupVertices[Group],MATCH(Edges37[[#This Row],[Vertex 2]],GroupVertices[Vertex],0)),1,1,"")</f>
        <v>15</v>
      </c>
      <c r="BF96" s="49">
        <v>0</v>
      </c>
      <c r="BG96" s="50">
        <v>0</v>
      </c>
      <c r="BH96" s="49">
        <v>1</v>
      </c>
      <c r="BI96" s="50">
        <v>2.7777777777777777</v>
      </c>
      <c r="BJ96" s="49">
        <v>0</v>
      </c>
      <c r="BK96" s="50">
        <v>0</v>
      </c>
      <c r="BL96" s="49">
        <v>35</v>
      </c>
      <c r="BM96" s="50">
        <v>97.22222222222223</v>
      </c>
      <c r="BN96" s="49">
        <v>36</v>
      </c>
    </row>
    <row r="97" spans="1:66" ht="15">
      <c r="A97" s="66" t="s">
        <v>256</v>
      </c>
      <c r="B97" s="66" t="s">
        <v>260</v>
      </c>
      <c r="C97" s="84"/>
      <c r="D97" s="94"/>
      <c r="E97" s="84"/>
      <c r="F97" s="96"/>
      <c r="G97" s="84"/>
      <c r="H97" s="82"/>
      <c r="I97" s="97"/>
      <c r="J97" s="97"/>
      <c r="K97" s="35" t="s">
        <v>65</v>
      </c>
      <c r="L97" s="98">
        <v>113</v>
      </c>
      <c r="M97" s="98"/>
      <c r="N97" s="99"/>
      <c r="O97" s="68" t="s">
        <v>262</v>
      </c>
      <c r="P97" s="70">
        <v>44698.449537037035</v>
      </c>
      <c r="Q97" s="68" t="s">
        <v>265</v>
      </c>
      <c r="R97" s="72" t="str">
        <f>HYPERLINK("https://truthusa.us/business-news/new-zealand-government-to-use-emission-trading-scheme-to-fund-ev-rollout/")</f>
        <v>https://truthusa.us/business-news/new-zealand-government-to-use-emission-trading-scheme-to-fund-ev-rollout/</v>
      </c>
      <c r="S97" s="68" t="s">
        <v>268</v>
      </c>
      <c r="T97" s="68"/>
      <c r="U97" s="72" t="str">
        <f>HYPERLINK("https://pbs.twimg.com/media/FS88bgXWQAEDE5I.jpg")</f>
        <v>https://pbs.twimg.com/media/FS88bgXWQAEDE5I.jpg</v>
      </c>
      <c r="V97" s="72" t="str">
        <f>HYPERLINK("https://pbs.twimg.com/media/FS88bgXWQAEDE5I.jpg")</f>
        <v>https://pbs.twimg.com/media/FS88bgXWQAEDE5I.jpg</v>
      </c>
      <c r="W97" s="70">
        <v>44698.449537037035</v>
      </c>
      <c r="X97" s="75">
        <v>44698</v>
      </c>
      <c r="Y97" s="73" t="s">
        <v>272</v>
      </c>
      <c r="Z97" s="72" t="str">
        <f>HYPERLINK("https://twitter.com/l_pugmire/status/1526514702301696000")</f>
        <v>https://twitter.com/l_pugmire/status/1526514702301696000</v>
      </c>
      <c r="AA97" s="68"/>
      <c r="AB97" s="68"/>
      <c r="AC97" s="73" t="s">
        <v>277</v>
      </c>
      <c r="AD97" s="68"/>
      <c r="AE97" s="68" t="b">
        <v>0</v>
      </c>
      <c r="AF97" s="68">
        <v>0</v>
      </c>
      <c r="AG97" s="73" t="s">
        <v>282</v>
      </c>
      <c r="AH97" s="68" t="b">
        <v>0</v>
      </c>
      <c r="AI97" s="68" t="s">
        <v>283</v>
      </c>
      <c r="AJ97" s="68"/>
      <c r="AK97" s="73" t="s">
        <v>282</v>
      </c>
      <c r="AL97" s="68" t="b">
        <v>0</v>
      </c>
      <c r="AM97" s="68">
        <v>1</v>
      </c>
      <c r="AN97" s="73" t="s">
        <v>281</v>
      </c>
      <c r="AO97" s="73" t="s">
        <v>284</v>
      </c>
      <c r="AP97" s="68" t="b">
        <v>0</v>
      </c>
      <c r="AQ97" s="73" t="s">
        <v>281</v>
      </c>
      <c r="AR97" s="68" t="s">
        <v>218</v>
      </c>
      <c r="AS97" s="68">
        <v>0</v>
      </c>
      <c r="AT97" s="68">
        <v>0</v>
      </c>
      <c r="AU97" s="68"/>
      <c r="AV97" s="68"/>
      <c r="AW97" s="68"/>
      <c r="AX97" s="68"/>
      <c r="AY97" s="68"/>
      <c r="AZ97" s="68"/>
      <c r="BA97" s="68"/>
      <c r="BB97" s="68"/>
      <c r="BC97" s="68">
        <v>1</v>
      </c>
      <c r="BD97" s="67" t="str">
        <f>REPLACE(INDEX(GroupVertices[Group],MATCH(Edges37[[#This Row],[Vertex 1]],GroupVertices[Vertex],0)),1,1,"")</f>
        <v>15</v>
      </c>
      <c r="BE97" s="67" t="str">
        <f>REPLACE(INDEX(GroupVertices[Group],MATCH(Edges37[[#This Row],[Vertex 2]],GroupVertices[Vertex],0)),1,1,"")</f>
        <v>15</v>
      </c>
      <c r="BF97" s="49">
        <v>0</v>
      </c>
      <c r="BG97" s="50">
        <v>0</v>
      </c>
      <c r="BH97" s="49">
        <v>1</v>
      </c>
      <c r="BI97" s="50">
        <v>2.7777777777777777</v>
      </c>
      <c r="BJ97" s="49">
        <v>0</v>
      </c>
      <c r="BK97" s="50">
        <v>0</v>
      </c>
      <c r="BL97" s="49">
        <v>35</v>
      </c>
      <c r="BM97" s="50">
        <v>97.22222222222223</v>
      </c>
      <c r="BN97" s="49">
        <v>36</v>
      </c>
    </row>
    <row r="98" spans="1:66" ht="15">
      <c r="A98" s="66" t="s">
        <v>628</v>
      </c>
      <c r="B98" s="66" t="s">
        <v>651</v>
      </c>
      <c r="C98" s="84"/>
      <c r="D98" s="94"/>
      <c r="E98" s="84"/>
      <c r="F98" s="96"/>
      <c r="G98" s="84"/>
      <c r="H98" s="82"/>
      <c r="I98" s="97"/>
      <c r="J98" s="97"/>
      <c r="K98" s="35" t="s">
        <v>65</v>
      </c>
      <c r="L98" s="98">
        <v>114</v>
      </c>
      <c r="M98" s="98"/>
      <c r="N98" s="99"/>
      <c r="O98" s="68" t="s">
        <v>263</v>
      </c>
      <c r="P98" s="70">
        <v>44698.500243055554</v>
      </c>
      <c r="Q98" s="68" t="s">
        <v>691</v>
      </c>
      <c r="R98" s="72" t="str">
        <f>HYPERLINK("https://carbon-pulse.com/159647/")</f>
        <v>https://carbon-pulse.com/159647/</v>
      </c>
      <c r="S98" s="68" t="s">
        <v>706</v>
      </c>
      <c r="T98" s="73" t="s">
        <v>720</v>
      </c>
      <c r="U98" s="68"/>
      <c r="V98" s="72" t="str">
        <f>HYPERLINK("https://pbs.twimg.com/profile_images/1235481437630918658/iHZsj1Q2_normal.jpg")</f>
        <v>https://pbs.twimg.com/profile_images/1235481437630918658/iHZsj1Q2_normal.jpg</v>
      </c>
      <c r="W98" s="70">
        <v>44698.500243055554</v>
      </c>
      <c r="X98" s="75">
        <v>44698</v>
      </c>
      <c r="Y98" s="73" t="s">
        <v>815</v>
      </c>
      <c r="Z98" s="72" t="str">
        <f>HYPERLINK("https://twitter.com/mark_tilly1/status/1526533075987238912")</f>
        <v>https://twitter.com/mark_tilly1/status/1526533075987238912</v>
      </c>
      <c r="AA98" s="68"/>
      <c r="AB98" s="68"/>
      <c r="AC98" s="73" t="s">
        <v>918</v>
      </c>
      <c r="AD98" s="68"/>
      <c r="AE98" s="68" t="b">
        <v>0</v>
      </c>
      <c r="AF98" s="68">
        <v>0</v>
      </c>
      <c r="AG98" s="73" t="s">
        <v>282</v>
      </c>
      <c r="AH98" s="68" t="b">
        <v>0</v>
      </c>
      <c r="AI98" s="68" t="s">
        <v>283</v>
      </c>
      <c r="AJ98" s="68"/>
      <c r="AK98" s="73" t="s">
        <v>282</v>
      </c>
      <c r="AL98" s="68" t="b">
        <v>0</v>
      </c>
      <c r="AM98" s="68">
        <v>0</v>
      </c>
      <c r="AN98" s="73" t="s">
        <v>282</v>
      </c>
      <c r="AO98" s="73" t="s">
        <v>285</v>
      </c>
      <c r="AP98" s="68" t="b">
        <v>0</v>
      </c>
      <c r="AQ98" s="73" t="s">
        <v>918</v>
      </c>
      <c r="AR98" s="68" t="s">
        <v>218</v>
      </c>
      <c r="AS98" s="68">
        <v>0</v>
      </c>
      <c r="AT98" s="68">
        <v>0</v>
      </c>
      <c r="AU98" s="68"/>
      <c r="AV98" s="68"/>
      <c r="AW98" s="68"/>
      <c r="AX98" s="68"/>
      <c r="AY98" s="68"/>
      <c r="AZ98" s="68"/>
      <c r="BA98" s="68"/>
      <c r="BB98" s="68"/>
      <c r="BC98" s="68">
        <v>1</v>
      </c>
      <c r="BD98" s="67" t="str">
        <f>REPLACE(INDEX(GroupVertices[Group],MATCH(Edges37[[#This Row],[Vertex 1]],GroupVertices[Vertex],0)),1,1,"")</f>
        <v>14</v>
      </c>
      <c r="BE98" s="67" t="str">
        <f>REPLACE(INDEX(GroupVertices[Group],MATCH(Edges37[[#This Row],[Vertex 2]],GroupVertices[Vertex],0)),1,1,"")</f>
        <v>14</v>
      </c>
      <c r="BF98" s="49">
        <v>0</v>
      </c>
      <c r="BG98" s="50">
        <v>0</v>
      </c>
      <c r="BH98" s="49">
        <v>1</v>
      </c>
      <c r="BI98" s="50">
        <v>3.225806451612903</v>
      </c>
      <c r="BJ98" s="49">
        <v>0</v>
      </c>
      <c r="BK98" s="50">
        <v>0</v>
      </c>
      <c r="BL98" s="49">
        <v>30</v>
      </c>
      <c r="BM98" s="50">
        <v>96.7741935483871</v>
      </c>
      <c r="BN98" s="49">
        <v>31</v>
      </c>
    </row>
    <row r="99" spans="1:66" ht="15">
      <c r="A99" s="66" t="s">
        <v>629</v>
      </c>
      <c r="B99" s="66" t="s">
        <v>629</v>
      </c>
      <c r="C99" s="84"/>
      <c r="D99" s="94"/>
      <c r="E99" s="84"/>
      <c r="F99" s="96"/>
      <c r="G99" s="84"/>
      <c r="H99" s="82"/>
      <c r="I99" s="97"/>
      <c r="J99" s="97"/>
      <c r="K99" s="35" t="s">
        <v>65</v>
      </c>
      <c r="L99" s="98">
        <v>115</v>
      </c>
      <c r="M99" s="98"/>
      <c r="N99" s="99"/>
      <c r="O99" s="68" t="s">
        <v>218</v>
      </c>
      <c r="P99" s="70">
        <v>44697.023877314816</v>
      </c>
      <c r="Q99" s="68" t="s">
        <v>671</v>
      </c>
      <c r="R99" s="68"/>
      <c r="S99" s="68"/>
      <c r="T99" s="68"/>
      <c r="U99" s="68"/>
      <c r="V99" s="72" t="str">
        <f>HYPERLINK("https://pbs.twimg.com/profile_images/1136501773735157762/mIzrKmoN_normal.jpg")</f>
        <v>https://pbs.twimg.com/profile_images/1136501773735157762/mIzrKmoN_normal.jpg</v>
      </c>
      <c r="W99" s="70">
        <v>44697.023877314816</v>
      </c>
      <c r="X99" s="75">
        <v>44697</v>
      </c>
      <c r="Y99" s="73" t="s">
        <v>816</v>
      </c>
      <c r="Z99" s="72" t="str">
        <f>HYPERLINK("https://twitter.com/nashthomas/status/1525998057963200512")</f>
        <v>https://twitter.com/nashthomas/status/1525998057963200512</v>
      </c>
      <c r="AA99" s="68"/>
      <c r="AB99" s="68"/>
      <c r="AC99" s="73" t="s">
        <v>919</v>
      </c>
      <c r="AD99" s="68"/>
      <c r="AE99" s="68" t="b">
        <v>0</v>
      </c>
      <c r="AF99" s="68">
        <v>65</v>
      </c>
      <c r="AG99" s="73" t="s">
        <v>282</v>
      </c>
      <c r="AH99" s="68" t="b">
        <v>0</v>
      </c>
      <c r="AI99" s="68" t="s">
        <v>283</v>
      </c>
      <c r="AJ99" s="68"/>
      <c r="AK99" s="73" t="s">
        <v>282</v>
      </c>
      <c r="AL99" s="68" t="b">
        <v>0</v>
      </c>
      <c r="AM99" s="68">
        <v>11</v>
      </c>
      <c r="AN99" s="73" t="s">
        <v>282</v>
      </c>
      <c r="AO99" s="73" t="s">
        <v>284</v>
      </c>
      <c r="AP99" s="68" t="b">
        <v>0</v>
      </c>
      <c r="AQ99" s="73" t="s">
        <v>919</v>
      </c>
      <c r="AR99" s="68" t="s">
        <v>218</v>
      </c>
      <c r="AS99" s="68">
        <v>0</v>
      </c>
      <c r="AT99" s="68">
        <v>0</v>
      </c>
      <c r="AU99" s="68"/>
      <c r="AV99" s="68"/>
      <c r="AW99" s="68"/>
      <c r="AX99" s="68"/>
      <c r="AY99" s="68"/>
      <c r="AZ99" s="68"/>
      <c r="BA99" s="68"/>
      <c r="BB99" s="68"/>
      <c r="BC99" s="68">
        <v>2</v>
      </c>
      <c r="BD99" s="67" t="str">
        <f>REPLACE(INDEX(GroupVertices[Group],MATCH(Edges37[[#This Row],[Vertex 1]],GroupVertices[Vertex],0)),1,1,"")</f>
        <v>1</v>
      </c>
      <c r="BE99" s="67" t="str">
        <f>REPLACE(INDEX(GroupVertices[Group],MATCH(Edges37[[#This Row],[Vertex 2]],GroupVertices[Vertex],0)),1,1,"")</f>
        <v>1</v>
      </c>
      <c r="BF99" s="49">
        <v>1</v>
      </c>
      <c r="BG99" s="50">
        <v>2.272727272727273</v>
      </c>
      <c r="BH99" s="49">
        <v>0</v>
      </c>
      <c r="BI99" s="50">
        <v>0</v>
      </c>
      <c r="BJ99" s="49">
        <v>0</v>
      </c>
      <c r="BK99" s="50">
        <v>0</v>
      </c>
      <c r="BL99" s="49">
        <v>43</v>
      </c>
      <c r="BM99" s="50">
        <v>97.72727272727273</v>
      </c>
      <c r="BN99" s="49">
        <v>44</v>
      </c>
    </row>
    <row r="100" spans="1:66" ht="15">
      <c r="A100" s="66" t="s">
        <v>629</v>
      </c>
      <c r="B100" s="66" t="s">
        <v>629</v>
      </c>
      <c r="C100" s="84"/>
      <c r="D100" s="94"/>
      <c r="E100" s="84"/>
      <c r="F100" s="96"/>
      <c r="G100" s="84"/>
      <c r="H100" s="82"/>
      <c r="I100" s="97"/>
      <c r="J100" s="97"/>
      <c r="K100" s="35" t="s">
        <v>65</v>
      </c>
      <c r="L100" s="98">
        <v>116</v>
      </c>
      <c r="M100" s="98"/>
      <c r="N100" s="99"/>
      <c r="O100" s="68" t="s">
        <v>218</v>
      </c>
      <c r="P100" s="70">
        <v>44697.066666666666</v>
      </c>
      <c r="Q100" s="68" t="s">
        <v>672</v>
      </c>
      <c r="R100" s="68"/>
      <c r="S100" s="68"/>
      <c r="T100" s="68"/>
      <c r="U100" s="68"/>
      <c r="V100" s="72" t="str">
        <f>HYPERLINK("https://pbs.twimg.com/profile_images/1136501773735157762/mIzrKmoN_normal.jpg")</f>
        <v>https://pbs.twimg.com/profile_images/1136501773735157762/mIzrKmoN_normal.jpg</v>
      </c>
      <c r="W100" s="70">
        <v>44697.066666666666</v>
      </c>
      <c r="X100" s="75">
        <v>44697</v>
      </c>
      <c r="Y100" s="73" t="s">
        <v>817</v>
      </c>
      <c r="Z100" s="72" t="str">
        <f>HYPERLINK("https://twitter.com/nashthomas/status/1526013565223567360")</f>
        <v>https://twitter.com/nashthomas/status/1526013565223567360</v>
      </c>
      <c r="AA100" s="68"/>
      <c r="AB100" s="68"/>
      <c r="AC100" s="73" t="s">
        <v>920</v>
      </c>
      <c r="AD100" s="68"/>
      <c r="AE100" s="68" t="b">
        <v>0</v>
      </c>
      <c r="AF100" s="68">
        <v>93</v>
      </c>
      <c r="AG100" s="73" t="s">
        <v>282</v>
      </c>
      <c r="AH100" s="68" t="b">
        <v>0</v>
      </c>
      <c r="AI100" s="68" t="s">
        <v>283</v>
      </c>
      <c r="AJ100" s="68"/>
      <c r="AK100" s="73" t="s">
        <v>282</v>
      </c>
      <c r="AL100" s="68" t="b">
        <v>0</v>
      </c>
      <c r="AM100" s="68">
        <v>13</v>
      </c>
      <c r="AN100" s="73" t="s">
        <v>282</v>
      </c>
      <c r="AO100" s="73" t="s">
        <v>284</v>
      </c>
      <c r="AP100" s="68" t="b">
        <v>0</v>
      </c>
      <c r="AQ100" s="73" t="s">
        <v>920</v>
      </c>
      <c r="AR100" s="68" t="s">
        <v>218</v>
      </c>
      <c r="AS100" s="68">
        <v>0</v>
      </c>
      <c r="AT100" s="68">
        <v>0</v>
      </c>
      <c r="AU100" s="68"/>
      <c r="AV100" s="68"/>
      <c r="AW100" s="68"/>
      <c r="AX100" s="68"/>
      <c r="AY100" s="68"/>
      <c r="AZ100" s="68"/>
      <c r="BA100" s="68"/>
      <c r="BB100" s="68"/>
      <c r="BC100" s="68">
        <v>2</v>
      </c>
      <c r="BD100" s="67" t="str">
        <f>REPLACE(INDEX(GroupVertices[Group],MATCH(Edges37[[#This Row],[Vertex 1]],GroupVertices[Vertex],0)),1,1,"")</f>
        <v>1</v>
      </c>
      <c r="BE100" s="67" t="str">
        <f>REPLACE(INDEX(GroupVertices[Group],MATCH(Edges37[[#This Row],[Vertex 2]],GroupVertices[Vertex],0)),1,1,"")</f>
        <v>1</v>
      </c>
      <c r="BF100" s="49">
        <v>2</v>
      </c>
      <c r="BG100" s="50">
        <v>4</v>
      </c>
      <c r="BH100" s="49">
        <v>0</v>
      </c>
      <c r="BI100" s="50">
        <v>0</v>
      </c>
      <c r="BJ100" s="49">
        <v>0</v>
      </c>
      <c r="BK100" s="50">
        <v>0</v>
      </c>
      <c r="BL100" s="49">
        <v>48</v>
      </c>
      <c r="BM100" s="50">
        <v>96</v>
      </c>
      <c r="BN100" s="49">
        <v>50</v>
      </c>
    </row>
    <row r="101" spans="1:66" ht="15">
      <c r="A101" s="66" t="s">
        <v>630</v>
      </c>
      <c r="B101" s="66" t="s">
        <v>629</v>
      </c>
      <c r="C101" s="84"/>
      <c r="D101" s="94"/>
      <c r="E101" s="84"/>
      <c r="F101" s="96"/>
      <c r="G101" s="84"/>
      <c r="H101" s="82"/>
      <c r="I101" s="97"/>
      <c r="J101" s="97"/>
      <c r="K101" s="35" t="s">
        <v>65</v>
      </c>
      <c r="L101" s="98">
        <v>117</v>
      </c>
      <c r="M101" s="98"/>
      <c r="N101" s="99"/>
      <c r="O101" s="68" t="s">
        <v>262</v>
      </c>
      <c r="P101" s="70">
        <v>44698.79136574074</v>
      </c>
      <c r="Q101" s="68" t="s">
        <v>672</v>
      </c>
      <c r="R101" s="68"/>
      <c r="S101" s="68"/>
      <c r="T101" s="68"/>
      <c r="U101" s="68"/>
      <c r="V101" s="72" t="str">
        <f>HYPERLINK("https://pbs.twimg.com/profile_images/754486118704291840/wlhfZrzq_normal.jpg")</f>
        <v>https://pbs.twimg.com/profile_images/754486118704291840/wlhfZrzq_normal.jpg</v>
      </c>
      <c r="W101" s="70">
        <v>44698.79136574074</v>
      </c>
      <c r="X101" s="75">
        <v>44698</v>
      </c>
      <c r="Y101" s="73" t="s">
        <v>818</v>
      </c>
      <c r="Z101" s="72" t="str">
        <f>HYPERLINK("https://twitter.com/gaymaxine/status/1526638573801607169")</f>
        <v>https://twitter.com/gaymaxine/status/1526638573801607169</v>
      </c>
      <c r="AA101" s="68"/>
      <c r="AB101" s="68"/>
      <c r="AC101" s="73" t="s">
        <v>921</v>
      </c>
      <c r="AD101" s="68"/>
      <c r="AE101" s="68" t="b">
        <v>0</v>
      </c>
      <c r="AF101" s="68">
        <v>0</v>
      </c>
      <c r="AG101" s="73" t="s">
        <v>282</v>
      </c>
      <c r="AH101" s="68" t="b">
        <v>0</v>
      </c>
      <c r="AI101" s="68" t="s">
        <v>283</v>
      </c>
      <c r="AJ101" s="68"/>
      <c r="AK101" s="73" t="s">
        <v>282</v>
      </c>
      <c r="AL101" s="68" t="b">
        <v>0</v>
      </c>
      <c r="AM101" s="68">
        <v>13</v>
      </c>
      <c r="AN101" s="73" t="s">
        <v>920</v>
      </c>
      <c r="AO101" s="73" t="s">
        <v>947</v>
      </c>
      <c r="AP101" s="68" t="b">
        <v>0</v>
      </c>
      <c r="AQ101" s="73" t="s">
        <v>920</v>
      </c>
      <c r="AR101" s="68" t="s">
        <v>218</v>
      </c>
      <c r="AS101" s="68">
        <v>0</v>
      </c>
      <c r="AT101" s="68">
        <v>0</v>
      </c>
      <c r="AU101" s="68"/>
      <c r="AV101" s="68"/>
      <c r="AW101" s="68"/>
      <c r="AX101" s="68"/>
      <c r="AY101" s="68"/>
      <c r="AZ101" s="68"/>
      <c r="BA101" s="68"/>
      <c r="BB101" s="68"/>
      <c r="BC101" s="68">
        <v>1</v>
      </c>
      <c r="BD101" s="67" t="str">
        <f>REPLACE(INDEX(GroupVertices[Group],MATCH(Edges37[[#This Row],[Vertex 1]],GroupVertices[Vertex],0)),1,1,"")</f>
        <v>1</v>
      </c>
      <c r="BE101" s="67" t="str">
        <f>REPLACE(INDEX(GroupVertices[Group],MATCH(Edges37[[#This Row],[Vertex 2]],GroupVertices[Vertex],0)),1,1,"")</f>
        <v>1</v>
      </c>
      <c r="BF101" s="49">
        <v>2</v>
      </c>
      <c r="BG101" s="50">
        <v>4</v>
      </c>
      <c r="BH101" s="49">
        <v>0</v>
      </c>
      <c r="BI101" s="50">
        <v>0</v>
      </c>
      <c r="BJ101" s="49">
        <v>0</v>
      </c>
      <c r="BK101" s="50">
        <v>0</v>
      </c>
      <c r="BL101" s="49">
        <v>48</v>
      </c>
      <c r="BM101" s="50">
        <v>96</v>
      </c>
      <c r="BN101" s="49">
        <v>50</v>
      </c>
    </row>
    <row r="102" spans="1:66" ht="15">
      <c r="A102" s="66" t="s">
        <v>257</v>
      </c>
      <c r="B102" s="66" t="s">
        <v>257</v>
      </c>
      <c r="C102" s="84"/>
      <c r="D102" s="94"/>
      <c r="E102" s="84"/>
      <c r="F102" s="96"/>
      <c r="G102" s="84"/>
      <c r="H102" s="82"/>
      <c r="I102" s="97"/>
      <c r="J102" s="97"/>
      <c r="K102" s="35" t="s">
        <v>65</v>
      </c>
      <c r="L102" s="98">
        <v>118</v>
      </c>
      <c r="M102" s="98"/>
      <c r="N102" s="99"/>
      <c r="O102" s="68" t="s">
        <v>218</v>
      </c>
      <c r="P102" s="70">
        <v>44698.89925925926</v>
      </c>
      <c r="Q102" s="68" t="s">
        <v>266</v>
      </c>
      <c r="R102" s="72" t="str">
        <f>HYPERLINK("https://businessdesk.co.nz/article/climate-change/concrete-govt-eyes-carbon-border-tax")</f>
        <v>https://businessdesk.co.nz/article/climate-change/concrete-govt-eyes-carbon-border-tax</v>
      </c>
      <c r="S102" s="68" t="s">
        <v>269</v>
      </c>
      <c r="T102" s="68"/>
      <c r="U102" s="68"/>
      <c r="V102" s="72" t="str">
        <f>HYPERLINK("https://pbs.twimg.com/profile_images/1229581468113854464/YdbOAsfr_normal.jpg")</f>
        <v>https://pbs.twimg.com/profile_images/1229581468113854464/YdbOAsfr_normal.jpg</v>
      </c>
      <c r="W102" s="70">
        <v>44698.89925925926</v>
      </c>
      <c r="X102" s="75">
        <v>44698</v>
      </c>
      <c r="Y102" s="73" t="s">
        <v>273</v>
      </c>
      <c r="Z102" s="72" t="str">
        <f>HYPERLINK("https://twitter.com/businessdesk_nz/status/1526677673736798208")</f>
        <v>https://twitter.com/businessdesk_nz/status/1526677673736798208</v>
      </c>
      <c r="AA102" s="68"/>
      <c r="AB102" s="68"/>
      <c r="AC102" s="73" t="s">
        <v>278</v>
      </c>
      <c r="AD102" s="68"/>
      <c r="AE102" s="68" t="b">
        <v>0</v>
      </c>
      <c r="AF102" s="68">
        <v>0</v>
      </c>
      <c r="AG102" s="73" t="s">
        <v>282</v>
      </c>
      <c r="AH102" s="68" t="b">
        <v>0</v>
      </c>
      <c r="AI102" s="68" t="s">
        <v>283</v>
      </c>
      <c r="AJ102" s="68"/>
      <c r="AK102" s="73" t="s">
        <v>282</v>
      </c>
      <c r="AL102" s="68" t="b">
        <v>0</v>
      </c>
      <c r="AM102" s="68">
        <v>0</v>
      </c>
      <c r="AN102" s="73" t="s">
        <v>282</v>
      </c>
      <c r="AO102" s="73" t="s">
        <v>285</v>
      </c>
      <c r="AP102" s="68" t="b">
        <v>0</v>
      </c>
      <c r="AQ102" s="73" t="s">
        <v>278</v>
      </c>
      <c r="AR102" s="68" t="s">
        <v>218</v>
      </c>
      <c r="AS102" s="68">
        <v>0</v>
      </c>
      <c r="AT102" s="68">
        <v>0</v>
      </c>
      <c r="AU102" s="68"/>
      <c r="AV102" s="68"/>
      <c r="AW102" s="68"/>
      <c r="AX102" s="68"/>
      <c r="AY102" s="68"/>
      <c r="AZ102" s="68"/>
      <c r="BA102" s="68"/>
      <c r="BB102" s="68"/>
      <c r="BC102" s="68">
        <v>1</v>
      </c>
      <c r="BD102" s="67" t="str">
        <f>REPLACE(INDEX(GroupVertices[Group],MATCH(Edges37[[#This Row],[Vertex 1]],GroupVertices[Vertex],0)),1,1,"")</f>
        <v>2</v>
      </c>
      <c r="BE102" s="67" t="str">
        <f>REPLACE(INDEX(GroupVertices[Group],MATCH(Edges37[[#This Row],[Vertex 2]],GroupVertices[Vertex],0)),1,1,"")</f>
        <v>2</v>
      </c>
      <c r="BF102" s="49">
        <v>3</v>
      </c>
      <c r="BG102" s="50">
        <v>7.142857142857143</v>
      </c>
      <c r="BH102" s="49">
        <v>0</v>
      </c>
      <c r="BI102" s="50">
        <v>0</v>
      </c>
      <c r="BJ102" s="49">
        <v>0</v>
      </c>
      <c r="BK102" s="50">
        <v>0</v>
      </c>
      <c r="BL102" s="49">
        <v>39</v>
      </c>
      <c r="BM102" s="50">
        <v>92.85714285714286</v>
      </c>
      <c r="BN102" s="49">
        <v>42</v>
      </c>
    </row>
    <row r="103" spans="1:66" ht="15">
      <c r="A103" s="66" t="s">
        <v>631</v>
      </c>
      <c r="B103" s="66" t="s">
        <v>652</v>
      </c>
      <c r="C103" s="84"/>
      <c r="D103" s="94"/>
      <c r="E103" s="84"/>
      <c r="F103" s="96"/>
      <c r="G103" s="84"/>
      <c r="H103" s="82"/>
      <c r="I103" s="97"/>
      <c r="J103" s="97"/>
      <c r="K103" s="35" t="s">
        <v>65</v>
      </c>
      <c r="L103" s="98">
        <v>119</v>
      </c>
      <c r="M103" s="98"/>
      <c r="N103" s="99"/>
      <c r="O103" s="68" t="s">
        <v>263</v>
      </c>
      <c r="P103" s="70">
        <v>44698.92664351852</v>
      </c>
      <c r="Q103" s="68" t="s">
        <v>692</v>
      </c>
      <c r="R103" s="68"/>
      <c r="S103" s="68"/>
      <c r="T103" s="68"/>
      <c r="U103" s="68"/>
      <c r="V103" s="72" t="str">
        <f>HYPERLINK("https://pbs.twimg.com/profile_images/1520415532486430722/5jPSCaHo_normal.jpg")</f>
        <v>https://pbs.twimg.com/profile_images/1520415532486430722/5jPSCaHo_normal.jpg</v>
      </c>
      <c r="W103" s="70">
        <v>44698.92664351852</v>
      </c>
      <c r="X103" s="75">
        <v>44698</v>
      </c>
      <c r="Y103" s="73" t="s">
        <v>819</v>
      </c>
      <c r="Z103" s="72" t="str">
        <f>HYPERLINK("https://twitter.com/genevivelabont1/status/1526687596675571712")</f>
        <v>https://twitter.com/genevivelabont1/status/1526687596675571712</v>
      </c>
      <c r="AA103" s="68"/>
      <c r="AB103" s="68"/>
      <c r="AC103" s="73" t="s">
        <v>922</v>
      </c>
      <c r="AD103" s="73" t="s">
        <v>933</v>
      </c>
      <c r="AE103" s="68" t="b">
        <v>0</v>
      </c>
      <c r="AF103" s="68">
        <v>0</v>
      </c>
      <c r="AG103" s="73" t="s">
        <v>939</v>
      </c>
      <c r="AH103" s="68" t="b">
        <v>0</v>
      </c>
      <c r="AI103" s="68" t="s">
        <v>941</v>
      </c>
      <c r="AJ103" s="68"/>
      <c r="AK103" s="73" t="s">
        <v>282</v>
      </c>
      <c r="AL103" s="68" t="b">
        <v>0</v>
      </c>
      <c r="AM103" s="68">
        <v>0</v>
      </c>
      <c r="AN103" s="73" t="s">
        <v>282</v>
      </c>
      <c r="AO103" s="73" t="s">
        <v>947</v>
      </c>
      <c r="AP103" s="68" t="b">
        <v>0</v>
      </c>
      <c r="AQ103" s="73" t="s">
        <v>933</v>
      </c>
      <c r="AR103" s="68" t="s">
        <v>218</v>
      </c>
      <c r="AS103" s="68">
        <v>0</v>
      </c>
      <c r="AT103" s="68">
        <v>0</v>
      </c>
      <c r="AU103" s="68"/>
      <c r="AV103" s="68"/>
      <c r="AW103" s="68"/>
      <c r="AX103" s="68"/>
      <c r="AY103" s="68"/>
      <c r="AZ103" s="68"/>
      <c r="BA103" s="68"/>
      <c r="BB103" s="68"/>
      <c r="BC103" s="68">
        <v>1</v>
      </c>
      <c r="BD103" s="67" t="str">
        <f>REPLACE(INDEX(GroupVertices[Group],MATCH(Edges37[[#This Row],[Vertex 1]],GroupVertices[Vertex],0)),1,1,"")</f>
        <v>10</v>
      </c>
      <c r="BE103" s="67" t="str">
        <f>REPLACE(INDEX(GroupVertices[Group],MATCH(Edges37[[#This Row],[Vertex 2]],GroupVertices[Vertex],0)),1,1,"")</f>
        <v>10</v>
      </c>
      <c r="BF103" s="49"/>
      <c r="BG103" s="50"/>
      <c r="BH103" s="49"/>
      <c r="BI103" s="50"/>
      <c r="BJ103" s="49"/>
      <c r="BK103" s="50"/>
      <c r="BL103" s="49"/>
      <c r="BM103" s="50"/>
      <c r="BN103" s="49"/>
    </row>
    <row r="104" spans="1:66" ht="15">
      <c r="A104" s="66" t="s">
        <v>632</v>
      </c>
      <c r="B104" s="66" t="s">
        <v>632</v>
      </c>
      <c r="C104" s="84"/>
      <c r="D104" s="94"/>
      <c r="E104" s="84"/>
      <c r="F104" s="96"/>
      <c r="G104" s="84"/>
      <c r="H104" s="82"/>
      <c r="I104" s="97"/>
      <c r="J104" s="97"/>
      <c r="K104" s="35" t="s">
        <v>65</v>
      </c>
      <c r="L104" s="98">
        <v>121</v>
      </c>
      <c r="M104" s="98"/>
      <c r="N104" s="99"/>
      <c r="O104" s="68" t="s">
        <v>218</v>
      </c>
      <c r="P104" s="70">
        <v>44698.99334490741</v>
      </c>
      <c r="Q104" s="68" t="s">
        <v>693</v>
      </c>
      <c r="R104" s="68"/>
      <c r="S104" s="68"/>
      <c r="T104" s="68"/>
      <c r="U104" s="68"/>
      <c r="V104" s="72" t="str">
        <f>HYPERLINK("https://pbs.twimg.com/profile_images/1491428224798117891/9rG7sAag_normal.jpg")</f>
        <v>https://pbs.twimg.com/profile_images/1491428224798117891/9rG7sAag_normal.jpg</v>
      </c>
      <c r="W104" s="70">
        <v>44698.99334490741</v>
      </c>
      <c r="X104" s="75">
        <v>44698</v>
      </c>
      <c r="Y104" s="73" t="s">
        <v>820</v>
      </c>
      <c r="Z104" s="72" t="str">
        <f>HYPERLINK("https://twitter.com/emilypont/status/1526711769749540865")</f>
        <v>https://twitter.com/emilypont/status/1526711769749540865</v>
      </c>
      <c r="AA104" s="68"/>
      <c r="AB104" s="68"/>
      <c r="AC104" s="73" t="s">
        <v>923</v>
      </c>
      <c r="AD104" s="73" t="s">
        <v>934</v>
      </c>
      <c r="AE104" s="68" t="b">
        <v>0</v>
      </c>
      <c r="AF104" s="68">
        <v>0</v>
      </c>
      <c r="AG104" s="73" t="s">
        <v>940</v>
      </c>
      <c r="AH104" s="68" t="b">
        <v>0</v>
      </c>
      <c r="AI104" s="68" t="s">
        <v>283</v>
      </c>
      <c r="AJ104" s="68"/>
      <c r="AK104" s="73" t="s">
        <v>282</v>
      </c>
      <c r="AL104" s="68" t="b">
        <v>0</v>
      </c>
      <c r="AM104" s="68">
        <v>0</v>
      </c>
      <c r="AN104" s="73" t="s">
        <v>282</v>
      </c>
      <c r="AO104" s="73" t="s">
        <v>284</v>
      </c>
      <c r="AP104" s="68" t="b">
        <v>0</v>
      </c>
      <c r="AQ104" s="73" t="s">
        <v>934</v>
      </c>
      <c r="AR104" s="68" t="s">
        <v>218</v>
      </c>
      <c r="AS104" s="68">
        <v>0</v>
      </c>
      <c r="AT104" s="68">
        <v>0</v>
      </c>
      <c r="AU104" s="68"/>
      <c r="AV104" s="68"/>
      <c r="AW104" s="68"/>
      <c r="AX104" s="68"/>
      <c r="AY104" s="68"/>
      <c r="AZ104" s="68"/>
      <c r="BA104" s="68"/>
      <c r="BB104" s="68"/>
      <c r="BC104" s="68">
        <v>1</v>
      </c>
      <c r="BD104" s="67" t="str">
        <f>REPLACE(INDEX(GroupVertices[Group],MATCH(Edges37[[#This Row],[Vertex 1]],GroupVertices[Vertex],0)),1,1,"")</f>
        <v>2</v>
      </c>
      <c r="BE104" s="67" t="str">
        <f>REPLACE(INDEX(GroupVertices[Group],MATCH(Edges37[[#This Row],[Vertex 2]],GroupVertices[Vertex],0)),1,1,"")</f>
        <v>2</v>
      </c>
      <c r="BF104" s="49">
        <v>0</v>
      </c>
      <c r="BG104" s="50">
        <v>0</v>
      </c>
      <c r="BH104" s="49">
        <v>0</v>
      </c>
      <c r="BI104" s="50">
        <v>0</v>
      </c>
      <c r="BJ104" s="49">
        <v>0</v>
      </c>
      <c r="BK104" s="50">
        <v>0</v>
      </c>
      <c r="BL104" s="49">
        <v>35</v>
      </c>
      <c r="BM104" s="50">
        <v>100</v>
      </c>
      <c r="BN104" s="49">
        <v>35</v>
      </c>
    </row>
    <row r="105" spans="1:66" ht="15">
      <c r="A105" s="66" t="s">
        <v>258</v>
      </c>
      <c r="B105" s="66" t="s">
        <v>261</v>
      </c>
      <c r="C105" s="84"/>
      <c r="D105" s="94"/>
      <c r="E105" s="84"/>
      <c r="F105" s="96"/>
      <c r="G105" s="84"/>
      <c r="H105" s="82"/>
      <c r="I105" s="97"/>
      <c r="J105" s="97"/>
      <c r="K105" s="35" t="s">
        <v>65</v>
      </c>
      <c r="L105" s="98">
        <v>122</v>
      </c>
      <c r="M105" s="98"/>
      <c r="N105" s="99"/>
      <c r="O105" s="68" t="s">
        <v>263</v>
      </c>
      <c r="P105" s="70">
        <v>44699.107719907406</v>
      </c>
      <c r="Q105" s="68" t="s">
        <v>267</v>
      </c>
      <c r="R105"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05" s="68" t="s">
        <v>270</v>
      </c>
      <c r="T105" s="73" t="s">
        <v>271</v>
      </c>
      <c r="U105" s="68"/>
      <c r="V105" s="72" t="str">
        <f>HYPERLINK("https://pbs.twimg.com/profile_images/1288654635125760000/Sd4jIIxW_normal.jpg")</f>
        <v>https://pbs.twimg.com/profile_images/1288654635125760000/Sd4jIIxW_normal.jpg</v>
      </c>
      <c r="W105" s="70">
        <v>44699.107719907406</v>
      </c>
      <c r="X105" s="75">
        <v>44699</v>
      </c>
      <c r="Y105" s="73" t="s">
        <v>274</v>
      </c>
      <c r="Z105" s="72" t="str">
        <f>HYPERLINK("https://twitter.com/auepochtimes/status/1526753216859365377")</f>
        <v>https://twitter.com/auepochtimes/status/1526753216859365377</v>
      </c>
      <c r="AA105" s="68"/>
      <c r="AB105" s="68"/>
      <c r="AC105" s="73" t="s">
        <v>279</v>
      </c>
      <c r="AD105" s="68"/>
      <c r="AE105" s="68" t="b">
        <v>0</v>
      </c>
      <c r="AF105" s="68">
        <v>1</v>
      </c>
      <c r="AG105" s="73" t="s">
        <v>282</v>
      </c>
      <c r="AH105" s="68" t="b">
        <v>0</v>
      </c>
      <c r="AI105" s="68" t="s">
        <v>283</v>
      </c>
      <c r="AJ105" s="68"/>
      <c r="AK105" s="73" t="s">
        <v>282</v>
      </c>
      <c r="AL105" s="68" t="b">
        <v>0</v>
      </c>
      <c r="AM105" s="68">
        <v>2</v>
      </c>
      <c r="AN105" s="73" t="s">
        <v>282</v>
      </c>
      <c r="AO105" s="73" t="s">
        <v>286</v>
      </c>
      <c r="AP105" s="68" t="b">
        <v>0</v>
      </c>
      <c r="AQ105" s="73" t="s">
        <v>279</v>
      </c>
      <c r="AR105" s="68" t="s">
        <v>218</v>
      </c>
      <c r="AS105" s="68">
        <v>0</v>
      </c>
      <c r="AT105" s="68">
        <v>0</v>
      </c>
      <c r="AU105" s="68"/>
      <c r="AV105" s="68"/>
      <c r="AW105" s="68"/>
      <c r="AX105" s="68"/>
      <c r="AY105" s="68"/>
      <c r="AZ105" s="68"/>
      <c r="BA105" s="68"/>
      <c r="BB105" s="68"/>
      <c r="BC105" s="68">
        <v>1</v>
      </c>
      <c r="BD105" s="67" t="str">
        <f>REPLACE(INDEX(GroupVertices[Group],MATCH(Edges37[[#This Row],[Vertex 1]],GroupVertices[Vertex],0)),1,1,"")</f>
        <v>9</v>
      </c>
      <c r="BE105" s="67" t="str">
        <f>REPLACE(INDEX(GroupVertices[Group],MATCH(Edges37[[#This Row],[Vertex 2]],GroupVertices[Vertex],0)),1,1,"")</f>
        <v>9</v>
      </c>
      <c r="BF105" s="49">
        <v>0</v>
      </c>
      <c r="BG105" s="50">
        <v>0</v>
      </c>
      <c r="BH105" s="49">
        <v>1</v>
      </c>
      <c r="BI105" s="50">
        <v>2.7027027027027026</v>
      </c>
      <c r="BJ105" s="49">
        <v>0</v>
      </c>
      <c r="BK105" s="50">
        <v>0</v>
      </c>
      <c r="BL105" s="49">
        <v>36</v>
      </c>
      <c r="BM105" s="50">
        <v>97.29729729729729</v>
      </c>
      <c r="BN105" s="49">
        <v>37</v>
      </c>
    </row>
    <row r="106" spans="1:66" ht="15">
      <c r="A106" s="66" t="s">
        <v>259</v>
      </c>
      <c r="B106" s="66" t="s">
        <v>261</v>
      </c>
      <c r="C106" s="84"/>
      <c r="D106" s="94"/>
      <c r="E106" s="84"/>
      <c r="F106" s="96"/>
      <c r="G106" s="84"/>
      <c r="H106" s="82"/>
      <c r="I106" s="97"/>
      <c r="J106" s="97"/>
      <c r="K106" s="35" t="s">
        <v>65</v>
      </c>
      <c r="L106" s="98">
        <v>123</v>
      </c>
      <c r="M106" s="98"/>
      <c r="N106" s="99"/>
      <c r="O106" s="68" t="s">
        <v>264</v>
      </c>
      <c r="P106" s="70">
        <v>44699.11189814815</v>
      </c>
      <c r="Q106" s="68" t="s">
        <v>267</v>
      </c>
      <c r="R106"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06" s="68" t="s">
        <v>270</v>
      </c>
      <c r="T106" s="73" t="s">
        <v>271</v>
      </c>
      <c r="U106" s="68"/>
      <c r="V106" s="72" t="str">
        <f>HYPERLINK("https://pbs.twimg.com/profile_images/1094681472160673792/mqK_dabr_normal.jpg")</f>
        <v>https://pbs.twimg.com/profile_images/1094681472160673792/mqK_dabr_normal.jpg</v>
      </c>
      <c r="W106" s="70">
        <v>44699.11189814815</v>
      </c>
      <c r="X106" s="75">
        <v>44699</v>
      </c>
      <c r="Y106" s="73" t="s">
        <v>275</v>
      </c>
      <c r="Z106" s="72" t="str">
        <f>HYPERLINK("https://twitter.com/kjusticemotors/status/1526754733293199362")</f>
        <v>https://twitter.com/kjusticemotors/status/1526754733293199362</v>
      </c>
      <c r="AA106" s="68"/>
      <c r="AB106" s="68"/>
      <c r="AC106" s="73" t="s">
        <v>280</v>
      </c>
      <c r="AD106" s="68"/>
      <c r="AE106" s="68" t="b">
        <v>0</v>
      </c>
      <c r="AF106" s="68">
        <v>0</v>
      </c>
      <c r="AG106" s="73" t="s">
        <v>282</v>
      </c>
      <c r="AH106" s="68" t="b">
        <v>0</v>
      </c>
      <c r="AI106" s="68" t="s">
        <v>283</v>
      </c>
      <c r="AJ106" s="68"/>
      <c r="AK106" s="73" t="s">
        <v>282</v>
      </c>
      <c r="AL106" s="68" t="b">
        <v>0</v>
      </c>
      <c r="AM106" s="68">
        <v>2</v>
      </c>
      <c r="AN106" s="73" t="s">
        <v>279</v>
      </c>
      <c r="AO106" s="73" t="s">
        <v>284</v>
      </c>
      <c r="AP106" s="68" t="b">
        <v>0</v>
      </c>
      <c r="AQ106" s="73" t="s">
        <v>279</v>
      </c>
      <c r="AR106" s="68" t="s">
        <v>218</v>
      </c>
      <c r="AS106" s="68">
        <v>0</v>
      </c>
      <c r="AT106" s="68">
        <v>0</v>
      </c>
      <c r="AU106" s="68"/>
      <c r="AV106" s="68"/>
      <c r="AW106" s="68"/>
      <c r="AX106" s="68"/>
      <c r="AY106" s="68"/>
      <c r="AZ106" s="68"/>
      <c r="BA106" s="68"/>
      <c r="BB106" s="68"/>
      <c r="BC106" s="68">
        <v>1</v>
      </c>
      <c r="BD106" s="67" t="str">
        <f>REPLACE(INDEX(GroupVertices[Group],MATCH(Edges37[[#This Row],[Vertex 1]],GroupVertices[Vertex],0)),1,1,"")</f>
        <v>9</v>
      </c>
      <c r="BE106" s="67" t="str">
        <f>REPLACE(INDEX(GroupVertices[Group],MATCH(Edges37[[#This Row],[Vertex 2]],GroupVertices[Vertex],0)),1,1,"")</f>
        <v>9</v>
      </c>
      <c r="BF106" s="49"/>
      <c r="BG106" s="50"/>
      <c r="BH106" s="49"/>
      <c r="BI106" s="50"/>
      <c r="BJ106" s="49"/>
      <c r="BK106" s="50"/>
      <c r="BL106" s="49"/>
      <c r="BM106" s="50"/>
      <c r="BN106" s="49"/>
    </row>
    <row r="107" spans="1:66" ht="15">
      <c r="A107" s="66" t="s">
        <v>633</v>
      </c>
      <c r="B107" s="66" t="s">
        <v>633</v>
      </c>
      <c r="C107" s="84"/>
      <c r="D107" s="94"/>
      <c r="E107" s="84"/>
      <c r="F107" s="96"/>
      <c r="G107" s="84"/>
      <c r="H107" s="82"/>
      <c r="I107" s="97"/>
      <c r="J107" s="97"/>
      <c r="K107" s="35" t="s">
        <v>65</v>
      </c>
      <c r="L107" s="98">
        <v>125</v>
      </c>
      <c r="M107" s="98"/>
      <c r="N107" s="99"/>
      <c r="O107" s="68" t="s">
        <v>218</v>
      </c>
      <c r="P107" s="70">
        <v>44699.156793981485</v>
      </c>
      <c r="Q107" s="68" t="s">
        <v>694</v>
      </c>
      <c r="R107" s="72" t="str">
        <f>HYPERLINK("https://twn.my/title2/susagri/2022/sa979.htm")</f>
        <v>https://twn.my/title2/susagri/2022/sa979.htm</v>
      </c>
      <c r="S107" s="68" t="s">
        <v>707</v>
      </c>
      <c r="T107" s="73" t="s">
        <v>721</v>
      </c>
      <c r="U107" s="72" t="str">
        <f>HYPERLINK("https://pbs.twimg.com/media/FTAuHjMaQAAG43f.jpg")</f>
        <v>https://pbs.twimg.com/media/FTAuHjMaQAAG43f.jpg</v>
      </c>
      <c r="V107" s="72" t="str">
        <f>HYPERLINK("https://pbs.twimg.com/media/FTAuHjMaQAAG43f.jpg")</f>
        <v>https://pbs.twimg.com/media/FTAuHjMaQAAG43f.jpg</v>
      </c>
      <c r="W107" s="70">
        <v>44699.156793981485</v>
      </c>
      <c r="X107" s="75">
        <v>44699</v>
      </c>
      <c r="Y107" s="73" t="s">
        <v>821</v>
      </c>
      <c r="Z107" s="72" t="str">
        <f>HYPERLINK("https://twitter.com/3rdworldnetwork/status/1526771002604425216")</f>
        <v>https://twitter.com/3rdworldnetwork/status/1526771002604425216</v>
      </c>
      <c r="AA107" s="68"/>
      <c r="AB107" s="68"/>
      <c r="AC107" s="73" t="s">
        <v>924</v>
      </c>
      <c r="AD107" s="68"/>
      <c r="AE107" s="68" t="b">
        <v>0</v>
      </c>
      <c r="AF107" s="68">
        <v>2</v>
      </c>
      <c r="AG107" s="73" t="s">
        <v>282</v>
      </c>
      <c r="AH107" s="68" t="b">
        <v>0</v>
      </c>
      <c r="AI107" s="68" t="s">
        <v>283</v>
      </c>
      <c r="AJ107" s="68"/>
      <c r="AK107" s="73" t="s">
        <v>282</v>
      </c>
      <c r="AL107" s="68" t="b">
        <v>0</v>
      </c>
      <c r="AM107" s="68">
        <v>0</v>
      </c>
      <c r="AN107" s="73" t="s">
        <v>282</v>
      </c>
      <c r="AO107" s="73" t="s">
        <v>285</v>
      </c>
      <c r="AP107" s="68" t="b">
        <v>0</v>
      </c>
      <c r="AQ107" s="73" t="s">
        <v>924</v>
      </c>
      <c r="AR107" s="68" t="s">
        <v>218</v>
      </c>
      <c r="AS107" s="68">
        <v>0</v>
      </c>
      <c r="AT107" s="68">
        <v>0</v>
      </c>
      <c r="AU107" s="68"/>
      <c r="AV107" s="68"/>
      <c r="AW107" s="68"/>
      <c r="AX107" s="68"/>
      <c r="AY107" s="68"/>
      <c r="AZ107" s="68"/>
      <c r="BA107" s="68"/>
      <c r="BB107" s="68"/>
      <c r="BC107" s="68">
        <v>1</v>
      </c>
      <c r="BD107" s="67" t="str">
        <f>REPLACE(INDEX(GroupVertices[Group],MATCH(Edges37[[#This Row],[Vertex 1]],GroupVertices[Vertex],0)),1,1,"")</f>
        <v>2</v>
      </c>
      <c r="BE107" s="67" t="str">
        <f>REPLACE(INDEX(GroupVertices[Group],MATCH(Edges37[[#This Row],[Vertex 2]],GroupVertices[Vertex],0)),1,1,"")</f>
        <v>2</v>
      </c>
      <c r="BF107" s="49">
        <v>0</v>
      </c>
      <c r="BG107" s="50">
        <v>0</v>
      </c>
      <c r="BH107" s="49">
        <v>0</v>
      </c>
      <c r="BI107" s="50">
        <v>0</v>
      </c>
      <c r="BJ107" s="49">
        <v>0</v>
      </c>
      <c r="BK107" s="50">
        <v>0</v>
      </c>
      <c r="BL107" s="49">
        <v>42</v>
      </c>
      <c r="BM107" s="50">
        <v>100</v>
      </c>
      <c r="BN107" s="49">
        <v>42</v>
      </c>
    </row>
    <row r="108" spans="1:66" ht="15">
      <c r="A108" s="66" t="s">
        <v>634</v>
      </c>
      <c r="B108" s="66" t="s">
        <v>634</v>
      </c>
      <c r="C108" s="84"/>
      <c r="D108" s="94"/>
      <c r="E108" s="84"/>
      <c r="F108" s="96"/>
      <c r="G108" s="84"/>
      <c r="H108" s="82"/>
      <c r="I108" s="97"/>
      <c r="J108" s="97"/>
      <c r="K108" s="35" t="s">
        <v>65</v>
      </c>
      <c r="L108" s="98">
        <v>126</v>
      </c>
      <c r="M108" s="98"/>
      <c r="N108" s="99"/>
      <c r="O108" s="68" t="s">
        <v>218</v>
      </c>
      <c r="P108" s="70">
        <v>44699.89498842593</v>
      </c>
      <c r="Q108" s="68" t="s">
        <v>695</v>
      </c>
      <c r="R108" s="68"/>
      <c r="S108" s="68"/>
      <c r="T108" s="68"/>
      <c r="U108" s="72" t="str">
        <f>HYPERLINK("https://pbs.twimg.com/media/FTEhbaaakAEsJAo.jpg")</f>
        <v>https://pbs.twimg.com/media/FTEhbaaakAEsJAo.jpg</v>
      </c>
      <c r="V108" s="72" t="str">
        <f>HYPERLINK("https://pbs.twimg.com/media/FTEhbaaakAEsJAo.jpg")</f>
        <v>https://pbs.twimg.com/media/FTEhbaaakAEsJAo.jpg</v>
      </c>
      <c r="W108" s="70">
        <v>44699.89498842593</v>
      </c>
      <c r="X108" s="75">
        <v>44699</v>
      </c>
      <c r="Y108" s="73" t="s">
        <v>822</v>
      </c>
      <c r="Z108" s="72" t="str">
        <f>HYPERLINK("https://twitter.com/vheeringa/status/1527038515871363072")</f>
        <v>https://twitter.com/vheeringa/status/1527038515871363072</v>
      </c>
      <c r="AA108" s="68"/>
      <c r="AB108" s="68"/>
      <c r="AC108" s="73" t="s">
        <v>925</v>
      </c>
      <c r="AD108" s="68"/>
      <c r="AE108" s="68" t="b">
        <v>0</v>
      </c>
      <c r="AF108" s="68">
        <v>4</v>
      </c>
      <c r="AG108" s="73" t="s">
        <v>282</v>
      </c>
      <c r="AH108" s="68" t="b">
        <v>0</v>
      </c>
      <c r="AI108" s="68" t="s">
        <v>283</v>
      </c>
      <c r="AJ108" s="68"/>
      <c r="AK108" s="73" t="s">
        <v>282</v>
      </c>
      <c r="AL108" s="68" t="b">
        <v>0</v>
      </c>
      <c r="AM108" s="68">
        <v>0</v>
      </c>
      <c r="AN108" s="73" t="s">
        <v>282</v>
      </c>
      <c r="AO108" s="73" t="s">
        <v>284</v>
      </c>
      <c r="AP108" s="68" t="b">
        <v>0</v>
      </c>
      <c r="AQ108" s="73" t="s">
        <v>925</v>
      </c>
      <c r="AR108" s="68" t="s">
        <v>218</v>
      </c>
      <c r="AS108" s="68">
        <v>0</v>
      </c>
      <c r="AT108" s="68">
        <v>0</v>
      </c>
      <c r="AU108" s="68"/>
      <c r="AV108" s="68"/>
      <c r="AW108" s="68"/>
      <c r="AX108" s="68"/>
      <c r="AY108" s="68"/>
      <c r="AZ108" s="68"/>
      <c r="BA108" s="68"/>
      <c r="BB108" s="68"/>
      <c r="BC108" s="68">
        <v>1</v>
      </c>
      <c r="BD108" s="67" t="str">
        <f>REPLACE(INDEX(GroupVertices[Group],MATCH(Edges37[[#This Row],[Vertex 1]],GroupVertices[Vertex],0)),1,1,"")</f>
        <v>2</v>
      </c>
      <c r="BE108" s="67" t="str">
        <f>REPLACE(INDEX(GroupVertices[Group],MATCH(Edges37[[#This Row],[Vertex 2]],GroupVertices[Vertex],0)),1,1,"")</f>
        <v>2</v>
      </c>
      <c r="BF108" s="49">
        <v>0</v>
      </c>
      <c r="BG108" s="50">
        <v>0</v>
      </c>
      <c r="BH108" s="49">
        <v>0</v>
      </c>
      <c r="BI108" s="50">
        <v>0</v>
      </c>
      <c r="BJ108" s="49">
        <v>0</v>
      </c>
      <c r="BK108" s="50">
        <v>0</v>
      </c>
      <c r="BL108" s="49">
        <v>4</v>
      </c>
      <c r="BM108" s="50">
        <v>100</v>
      </c>
      <c r="BN108" s="49">
        <v>4</v>
      </c>
    </row>
    <row r="109" spans="1:66" ht="15">
      <c r="A109" s="66" t="s">
        <v>635</v>
      </c>
      <c r="B109" s="66" t="s">
        <v>635</v>
      </c>
      <c r="C109" s="84"/>
      <c r="D109" s="94"/>
      <c r="E109" s="84"/>
      <c r="F109" s="96"/>
      <c r="G109" s="84"/>
      <c r="H109" s="82"/>
      <c r="I109" s="97"/>
      <c r="J109" s="97"/>
      <c r="K109" s="35" t="s">
        <v>65</v>
      </c>
      <c r="L109" s="98">
        <v>127</v>
      </c>
      <c r="M109" s="98"/>
      <c r="N109" s="99"/>
      <c r="O109" s="68" t="s">
        <v>218</v>
      </c>
      <c r="P109" s="70">
        <v>44699.965208333335</v>
      </c>
      <c r="Q109" s="68" t="s">
        <v>696</v>
      </c>
      <c r="R109" s="72" t="str">
        <f>HYPERLINK("https://edairynews.com/en/?p=106818")</f>
        <v>https://edairynews.com/en/?p=106818</v>
      </c>
      <c r="S109" s="68" t="s">
        <v>708</v>
      </c>
      <c r="T109" s="68"/>
      <c r="U109" s="72" t="str">
        <f>HYPERLINK("https://pbs.twimg.com/media/FTE4lE4XEAEbwR7.jpg")</f>
        <v>https://pbs.twimg.com/media/FTE4lE4XEAEbwR7.jpg</v>
      </c>
      <c r="V109" s="72" t="str">
        <f>HYPERLINK("https://pbs.twimg.com/media/FTE4lE4XEAEbwR7.jpg")</f>
        <v>https://pbs.twimg.com/media/FTE4lE4XEAEbwR7.jpg</v>
      </c>
      <c r="W109" s="70">
        <v>44699.965208333335</v>
      </c>
      <c r="X109" s="75">
        <v>44699</v>
      </c>
      <c r="Y109" s="73" t="s">
        <v>823</v>
      </c>
      <c r="Z109" s="72" t="str">
        <f>HYPERLINK("https://twitter.com/edairynews/status/1527063959697760256")</f>
        <v>https://twitter.com/edairynews/status/1527063959697760256</v>
      </c>
      <c r="AA109" s="68"/>
      <c r="AB109" s="68"/>
      <c r="AC109" s="73" t="s">
        <v>926</v>
      </c>
      <c r="AD109" s="68"/>
      <c r="AE109" s="68" t="b">
        <v>0</v>
      </c>
      <c r="AF109" s="68">
        <v>0</v>
      </c>
      <c r="AG109" s="73" t="s">
        <v>282</v>
      </c>
      <c r="AH109" s="68" t="b">
        <v>0</v>
      </c>
      <c r="AI109" s="68" t="s">
        <v>283</v>
      </c>
      <c r="AJ109" s="68"/>
      <c r="AK109" s="73" t="s">
        <v>282</v>
      </c>
      <c r="AL109" s="68" t="b">
        <v>0</v>
      </c>
      <c r="AM109" s="68">
        <v>0</v>
      </c>
      <c r="AN109" s="73" t="s">
        <v>282</v>
      </c>
      <c r="AO109" s="73" t="s">
        <v>956</v>
      </c>
      <c r="AP109" s="68" t="b">
        <v>0</v>
      </c>
      <c r="AQ109" s="73" t="s">
        <v>926</v>
      </c>
      <c r="AR109" s="68" t="s">
        <v>218</v>
      </c>
      <c r="AS109" s="68">
        <v>0</v>
      </c>
      <c r="AT109" s="68">
        <v>0</v>
      </c>
      <c r="AU109" s="68"/>
      <c r="AV109" s="68"/>
      <c r="AW109" s="68"/>
      <c r="AX109" s="68"/>
      <c r="AY109" s="68"/>
      <c r="AZ109" s="68"/>
      <c r="BA109" s="68"/>
      <c r="BB109" s="68"/>
      <c r="BC109" s="68">
        <v>1</v>
      </c>
      <c r="BD109" s="67" t="str">
        <f>REPLACE(INDEX(GroupVertices[Group],MATCH(Edges37[[#This Row],[Vertex 1]],GroupVertices[Vertex],0)),1,1,"")</f>
        <v>2</v>
      </c>
      <c r="BE109" s="67" t="str">
        <f>REPLACE(INDEX(GroupVertices[Group],MATCH(Edges37[[#This Row],[Vertex 2]],GroupVertices[Vertex],0)),1,1,"")</f>
        <v>2</v>
      </c>
      <c r="BF109" s="49">
        <v>0</v>
      </c>
      <c r="BG109" s="50">
        <v>0</v>
      </c>
      <c r="BH109" s="49">
        <v>0</v>
      </c>
      <c r="BI109" s="50">
        <v>0</v>
      </c>
      <c r="BJ109" s="49">
        <v>0</v>
      </c>
      <c r="BK109" s="50">
        <v>0</v>
      </c>
      <c r="BL109" s="49">
        <v>15</v>
      </c>
      <c r="BM109" s="50">
        <v>100</v>
      </c>
      <c r="BN109" s="49">
        <v>15</v>
      </c>
    </row>
    <row r="110" spans="1:66" ht="15">
      <c r="A110" s="66" t="s">
        <v>636</v>
      </c>
      <c r="B110" s="66" t="s">
        <v>636</v>
      </c>
      <c r="C110" s="84"/>
      <c r="D110" s="94"/>
      <c r="E110" s="84"/>
      <c r="F110" s="96"/>
      <c r="G110" s="84"/>
      <c r="H110" s="82"/>
      <c r="I110" s="97"/>
      <c r="J110" s="97"/>
      <c r="K110" s="35" t="s">
        <v>65</v>
      </c>
      <c r="L110" s="98">
        <v>128</v>
      </c>
      <c r="M110" s="98"/>
      <c r="N110" s="99"/>
      <c r="O110" s="68" t="s">
        <v>218</v>
      </c>
      <c r="P110" s="70">
        <v>44700.037627314814</v>
      </c>
      <c r="Q110" s="68" t="s">
        <v>697</v>
      </c>
      <c r="R110" s="72" t="str">
        <f>HYPERLINK("https://drivinginsights.co.nz/fleet-management/planning-your-electric-fleet/")</f>
        <v>https://drivinginsights.co.nz/fleet-management/planning-your-electric-fleet/</v>
      </c>
      <c r="S110" s="68" t="s">
        <v>269</v>
      </c>
      <c r="T110" s="73" t="s">
        <v>722</v>
      </c>
      <c r="U110" s="68"/>
      <c r="V110" s="72" t="str">
        <f>HYPERLINK("https://pbs.twimg.com/profile_images/1505759543875469319/53u_4sa6_normal.png")</f>
        <v>https://pbs.twimg.com/profile_images/1505759543875469319/53u_4sa6_normal.png</v>
      </c>
      <c r="W110" s="70">
        <v>44700.037627314814</v>
      </c>
      <c r="X110" s="75">
        <v>44700</v>
      </c>
      <c r="Y110" s="73" t="s">
        <v>824</v>
      </c>
      <c r="Z110" s="72" t="str">
        <f>HYPERLINK("https://twitter.com/insights_nz/status/1527090204779368448")</f>
        <v>https://twitter.com/insights_nz/status/1527090204779368448</v>
      </c>
      <c r="AA110" s="68"/>
      <c r="AB110" s="68"/>
      <c r="AC110" s="73" t="s">
        <v>927</v>
      </c>
      <c r="AD110" s="68"/>
      <c r="AE110" s="68" t="b">
        <v>0</v>
      </c>
      <c r="AF110" s="68">
        <v>1</v>
      </c>
      <c r="AG110" s="73" t="s">
        <v>282</v>
      </c>
      <c r="AH110" s="68" t="b">
        <v>0</v>
      </c>
      <c r="AI110" s="68" t="s">
        <v>283</v>
      </c>
      <c r="AJ110" s="68"/>
      <c r="AK110" s="73" t="s">
        <v>282</v>
      </c>
      <c r="AL110" s="68" t="b">
        <v>0</v>
      </c>
      <c r="AM110" s="68">
        <v>0</v>
      </c>
      <c r="AN110" s="73" t="s">
        <v>282</v>
      </c>
      <c r="AO110" s="73" t="s">
        <v>285</v>
      </c>
      <c r="AP110" s="68" t="b">
        <v>0</v>
      </c>
      <c r="AQ110" s="73" t="s">
        <v>927</v>
      </c>
      <c r="AR110" s="68" t="s">
        <v>218</v>
      </c>
      <c r="AS110" s="68">
        <v>0</v>
      </c>
      <c r="AT110" s="68">
        <v>0</v>
      </c>
      <c r="AU110" s="68"/>
      <c r="AV110" s="68"/>
      <c r="AW110" s="68"/>
      <c r="AX110" s="68"/>
      <c r="AY110" s="68"/>
      <c r="AZ110" s="68"/>
      <c r="BA110" s="68"/>
      <c r="BB110" s="68"/>
      <c r="BC110" s="68">
        <v>1</v>
      </c>
      <c r="BD110" s="67" t="str">
        <f>REPLACE(INDEX(GroupVertices[Group],MATCH(Edges37[[#This Row],[Vertex 1]],GroupVertices[Vertex],0)),1,1,"")</f>
        <v>2</v>
      </c>
      <c r="BE110" s="67" t="str">
        <f>REPLACE(INDEX(GroupVertices[Group],MATCH(Edges37[[#This Row],[Vertex 2]],GroupVertices[Vertex],0)),1,1,"")</f>
        <v>2</v>
      </c>
      <c r="BF110" s="49">
        <v>1</v>
      </c>
      <c r="BG110" s="50">
        <v>2.6315789473684212</v>
      </c>
      <c r="BH110" s="49">
        <v>0</v>
      </c>
      <c r="BI110" s="50">
        <v>0</v>
      </c>
      <c r="BJ110" s="49">
        <v>0</v>
      </c>
      <c r="BK110" s="50">
        <v>0</v>
      </c>
      <c r="BL110" s="49">
        <v>37</v>
      </c>
      <c r="BM110" s="50">
        <v>97.36842105263158</v>
      </c>
      <c r="BN110" s="49">
        <v>38</v>
      </c>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1610-A6FF-48E4-9637-4CB6A56C1A26}">
  <dimension ref="A25:B40"/>
  <sheetViews>
    <sheetView tabSelected="1" workbookViewId="0" topLeftCell="A1">
      <selection activeCell="H23" sqref="H23"/>
    </sheetView>
  </sheetViews>
  <sheetFormatPr defaultColWidth="9.140625" defaultRowHeight="15"/>
  <cols>
    <col min="1" max="1" width="13.28125" style="0" bestFit="1" customWidth="1"/>
    <col min="2" max="2" width="29.140625" style="0" bestFit="1" customWidth="1"/>
  </cols>
  <sheetData>
    <row r="25" spans="1:2" ht="15">
      <c r="A25" s="93" t="s">
        <v>536</v>
      </c>
      <c r="B25" t="s">
        <v>535</v>
      </c>
    </row>
    <row r="26" spans="1:2" ht="15">
      <c r="A26" s="114" t="s">
        <v>376</v>
      </c>
      <c r="B26" s="3">
        <v>108</v>
      </c>
    </row>
    <row r="27" spans="1:2" ht="15">
      <c r="A27" s="115" t="s">
        <v>2000</v>
      </c>
      <c r="B27" s="3">
        <v>1</v>
      </c>
    </row>
    <row r="28" spans="1:2" ht="15">
      <c r="A28" s="116" t="s">
        <v>2001</v>
      </c>
      <c r="B28" s="3">
        <v>1</v>
      </c>
    </row>
    <row r="29" spans="1:2" ht="15">
      <c r="A29" s="115" t="s">
        <v>2002</v>
      </c>
      <c r="B29" s="3">
        <v>107</v>
      </c>
    </row>
    <row r="30" spans="1:2" ht="15">
      <c r="A30" s="116" t="s">
        <v>2003</v>
      </c>
      <c r="B30" s="3">
        <v>1</v>
      </c>
    </row>
    <row r="31" spans="1:2" ht="15">
      <c r="A31" s="116" t="s">
        <v>2004</v>
      </c>
      <c r="B31" s="3">
        <v>2</v>
      </c>
    </row>
    <row r="32" spans="1:2" ht="15">
      <c r="A32" s="116" t="s">
        <v>2005</v>
      </c>
      <c r="B32" s="3">
        <v>3</v>
      </c>
    </row>
    <row r="33" spans="1:2" ht="15">
      <c r="A33" s="116" t="s">
        <v>2006</v>
      </c>
      <c r="B33" s="3">
        <v>6</v>
      </c>
    </row>
    <row r="34" spans="1:2" ht="15">
      <c r="A34" s="116" t="s">
        <v>2007</v>
      </c>
      <c r="B34" s="3">
        <v>4</v>
      </c>
    </row>
    <row r="35" spans="1:2" ht="15">
      <c r="A35" s="116" t="s">
        <v>2008</v>
      </c>
      <c r="B35" s="3">
        <v>12</v>
      </c>
    </row>
    <row r="36" spans="1:2" ht="15">
      <c r="A36" s="116" t="s">
        <v>2009</v>
      </c>
      <c r="B36" s="3">
        <v>56</v>
      </c>
    </row>
    <row r="37" spans="1:2" ht="15">
      <c r="A37" s="116" t="s">
        <v>2010</v>
      </c>
      <c r="B37" s="3">
        <v>17</v>
      </c>
    </row>
    <row r="38" spans="1:2" ht="15">
      <c r="A38" s="116" t="s">
        <v>2011</v>
      </c>
      <c r="B38" s="3">
        <v>5</v>
      </c>
    </row>
    <row r="39" spans="1:2" ht="15">
      <c r="A39" s="116" t="s">
        <v>2012</v>
      </c>
      <c r="B39" s="3">
        <v>1</v>
      </c>
    </row>
    <row r="40" spans="1:2" ht="15">
      <c r="A40" s="114" t="s">
        <v>537</v>
      </c>
      <c r="B40" s="3">
        <v>108</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8.57421875" style="0" bestFit="1" customWidth="1"/>
    <col min="54" max="54" width="17.7109375" style="0" bestFit="1" customWidth="1"/>
    <col min="55" max="55" width="22.140625" style="0" bestFit="1" customWidth="1"/>
    <col min="56" max="56" width="17.7109375" style="0" bestFit="1" customWidth="1"/>
    <col min="57" max="57" width="22.140625" style="0" bestFit="1" customWidth="1"/>
    <col min="58" max="58" width="17.7109375" style="0" bestFit="1" customWidth="1"/>
    <col min="59" max="59" width="22.140625" style="0" bestFit="1" customWidth="1"/>
    <col min="60" max="60" width="16.8515625" style="0" bestFit="1" customWidth="1"/>
    <col min="61" max="61" width="20.57421875" style="0" bestFit="1" customWidth="1"/>
    <col min="62" max="62" width="15.7109375" style="0" bestFit="1" customWidth="1"/>
    <col min="63" max="64" width="14.710937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7.7109375" style="0" bestFit="1" customWidth="1"/>
    <col min="72" max="72" width="17.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236</v>
      </c>
      <c r="AU2" s="13" t="s">
        <v>304</v>
      </c>
      <c r="AV2" s="13" t="s">
        <v>305</v>
      </c>
      <c r="AW2" s="13" t="s">
        <v>306</v>
      </c>
      <c r="AX2" s="13" t="s">
        <v>307</v>
      </c>
      <c r="AY2" s="13" t="s">
        <v>308</v>
      </c>
      <c r="AZ2" s="13" t="s">
        <v>309</v>
      </c>
      <c r="BA2" s="13" t="s">
        <v>346</v>
      </c>
      <c r="BB2" s="88" t="s">
        <v>402</v>
      </c>
      <c r="BC2" s="88" t="s">
        <v>403</v>
      </c>
      <c r="BD2" s="88" t="s">
        <v>404</v>
      </c>
      <c r="BE2" s="88" t="s">
        <v>405</v>
      </c>
      <c r="BF2" s="88" t="s">
        <v>406</v>
      </c>
      <c r="BG2" s="88" t="s">
        <v>407</v>
      </c>
      <c r="BH2" s="88" t="s">
        <v>408</v>
      </c>
      <c r="BI2" s="88" t="s">
        <v>409</v>
      </c>
      <c r="BJ2" s="88" t="s">
        <v>411</v>
      </c>
      <c r="BK2" s="88" t="s">
        <v>521</v>
      </c>
      <c r="BL2" s="88" t="s">
        <v>522</v>
      </c>
      <c r="BM2" s="88" t="s">
        <v>523</v>
      </c>
      <c r="BN2" s="88" t="s">
        <v>524</v>
      </c>
      <c r="BO2" s="88" t="s">
        <v>525</v>
      </c>
      <c r="BP2" s="88" t="s">
        <v>526</v>
      </c>
      <c r="BQ2" s="88" t="s">
        <v>527</v>
      </c>
      <c r="BR2" s="88" t="s">
        <v>531</v>
      </c>
      <c r="BS2" s="88" t="s">
        <v>532</v>
      </c>
      <c r="BT2" s="88" t="s">
        <v>534</v>
      </c>
      <c r="BU2" s="3"/>
      <c r="BV2" s="3"/>
    </row>
    <row r="3" spans="1:74" ht="15" customHeight="1">
      <c r="A3" s="66" t="s">
        <v>637</v>
      </c>
      <c r="B3" s="84"/>
      <c r="C3" s="84"/>
      <c r="D3" s="94">
        <v>100</v>
      </c>
      <c r="E3" s="96"/>
      <c r="F3" s="81" t="str">
        <f>HYPERLINK("https://pbs.twimg.com/profile_images/1192168373024514048/H3yG8qep_normal.png")</f>
        <v>https://pbs.twimg.com/profile_images/1192168373024514048/H3yG8qep_normal.png</v>
      </c>
      <c r="G3" s="84"/>
      <c r="H3" s="82" t="s">
        <v>637</v>
      </c>
      <c r="I3" s="97"/>
      <c r="J3" s="97"/>
      <c r="K3" s="82" t="s">
        <v>1461</v>
      </c>
      <c r="L3" s="100">
        <v>1</v>
      </c>
      <c r="M3" s="101">
        <v>2612.733154296875</v>
      </c>
      <c r="N3" s="101">
        <v>1804.752197265625</v>
      </c>
      <c r="O3" s="102"/>
      <c r="P3" s="103"/>
      <c r="Q3" s="103"/>
      <c r="R3" s="49"/>
      <c r="S3" s="49">
        <v>1</v>
      </c>
      <c r="T3" s="49">
        <v>1</v>
      </c>
      <c r="U3" s="50">
        <v>0</v>
      </c>
      <c r="V3" s="50">
        <v>0</v>
      </c>
      <c r="W3" s="50">
        <v>0</v>
      </c>
      <c r="X3" s="50">
        <v>0.008475</v>
      </c>
      <c r="Y3" s="50">
        <v>0</v>
      </c>
      <c r="Z3" s="50">
        <v>0</v>
      </c>
      <c r="AA3" s="98">
        <v>3</v>
      </c>
      <c r="AB3" s="98"/>
      <c r="AC3" s="99"/>
      <c r="AD3" s="67" t="s">
        <v>1074</v>
      </c>
      <c r="AE3" s="76" t="s">
        <v>1180</v>
      </c>
      <c r="AF3" s="67">
        <v>629</v>
      </c>
      <c r="AG3" s="67">
        <v>1457</v>
      </c>
      <c r="AH3" s="67">
        <v>4908</v>
      </c>
      <c r="AI3" s="67">
        <v>2009</v>
      </c>
      <c r="AJ3" s="67"/>
      <c r="AK3" s="67" t="s">
        <v>1288</v>
      </c>
      <c r="AL3" s="67" t="s">
        <v>326</v>
      </c>
      <c r="AM3" s="71" t="str">
        <f>HYPERLINK("https://t.co/PjPkGodN1m")</f>
        <v>https://t.co/PjPkGodN1m</v>
      </c>
      <c r="AN3" s="67"/>
      <c r="AO3" s="69">
        <v>40066.06585648148</v>
      </c>
      <c r="AP3" s="71" t="str">
        <f>HYPERLINK("https://pbs.twimg.com/profile_banners/73009226/1648589913")</f>
        <v>https://pbs.twimg.com/profile_banners/73009226/1648589913</v>
      </c>
      <c r="AQ3" s="67" t="b">
        <v>0</v>
      </c>
      <c r="AR3" s="67" t="b">
        <v>0</v>
      </c>
      <c r="AS3" s="67" t="b">
        <v>1</v>
      </c>
      <c r="AT3" s="67"/>
      <c r="AU3" s="67">
        <v>50</v>
      </c>
      <c r="AV3" s="71" t="str">
        <f>HYPERLINK("https://abs.twimg.com/images/themes/theme1/bg.png")</f>
        <v>https://abs.twimg.com/images/themes/theme1/bg.png</v>
      </c>
      <c r="AW3" s="67" t="b">
        <v>0</v>
      </c>
      <c r="AX3" s="67" t="s">
        <v>331</v>
      </c>
      <c r="AY3" s="71" t="str">
        <f>HYPERLINK("https://twitter.com/toituenvirocare")</f>
        <v>https://twitter.com/toituenvirocare</v>
      </c>
      <c r="AZ3" s="67" t="s">
        <v>66</v>
      </c>
      <c r="BA3" s="67" t="str">
        <f>REPLACE(INDEX(GroupVertices[Group],MATCH(Vertices[[#This Row],[Vertex]],GroupVertices[Vertex],0)),1,1,"")</f>
        <v>2</v>
      </c>
      <c r="BB3" s="49">
        <v>2</v>
      </c>
      <c r="BC3" s="50">
        <v>4.651162790697675</v>
      </c>
      <c r="BD3" s="49">
        <v>1</v>
      </c>
      <c r="BE3" s="50">
        <v>2.3255813953488373</v>
      </c>
      <c r="BF3" s="49">
        <v>0</v>
      </c>
      <c r="BG3" s="50">
        <v>0</v>
      </c>
      <c r="BH3" s="49">
        <v>40</v>
      </c>
      <c r="BI3" s="50">
        <v>93.02325581395348</v>
      </c>
      <c r="BJ3" s="49">
        <v>43</v>
      </c>
      <c r="BK3" s="49" t="s">
        <v>1716</v>
      </c>
      <c r="BL3" s="49" t="s">
        <v>1716</v>
      </c>
      <c r="BM3" s="49" t="s">
        <v>703</v>
      </c>
      <c r="BN3" s="49" t="s">
        <v>703</v>
      </c>
      <c r="BO3" s="49"/>
      <c r="BP3" s="49"/>
      <c r="BQ3" s="92" t="s">
        <v>1915</v>
      </c>
      <c r="BR3" s="92" t="s">
        <v>1915</v>
      </c>
      <c r="BS3" s="92" t="s">
        <v>1961</v>
      </c>
      <c r="BT3" s="92" t="s">
        <v>1961</v>
      </c>
      <c r="BU3" s="3"/>
      <c r="BV3" s="3"/>
    </row>
    <row r="4" spans="1:77" ht="15">
      <c r="A4" s="66" t="s">
        <v>542</v>
      </c>
      <c r="B4" s="84"/>
      <c r="C4" s="84"/>
      <c r="D4" s="94">
        <v>100</v>
      </c>
      <c r="E4" s="104"/>
      <c r="F4" s="81" t="str">
        <f>HYPERLINK("https://pbs.twimg.com/profile_images/861521589225050112/cOOm47UD_normal.jpg")</f>
        <v>https://pbs.twimg.com/profile_images/861521589225050112/cOOm47UD_normal.jpg</v>
      </c>
      <c r="G4" s="105"/>
      <c r="H4" s="82" t="s">
        <v>542</v>
      </c>
      <c r="I4" s="97"/>
      <c r="J4" s="106"/>
      <c r="K4" s="82" t="s">
        <v>1350</v>
      </c>
      <c r="L4" s="107">
        <v>1</v>
      </c>
      <c r="M4" s="101">
        <v>8134.77978515625</v>
      </c>
      <c r="N4" s="101">
        <v>4489.46142578125</v>
      </c>
      <c r="O4" s="102"/>
      <c r="P4" s="103"/>
      <c r="Q4" s="103"/>
      <c r="R4" s="108"/>
      <c r="S4" s="49">
        <v>2</v>
      </c>
      <c r="T4" s="49">
        <v>1</v>
      </c>
      <c r="U4" s="50">
        <v>0</v>
      </c>
      <c r="V4" s="50">
        <v>0.008547</v>
      </c>
      <c r="W4" s="50">
        <v>0</v>
      </c>
      <c r="X4" s="50">
        <v>0.009066</v>
      </c>
      <c r="Y4" s="50">
        <v>0</v>
      </c>
      <c r="Z4" s="50">
        <v>0</v>
      </c>
      <c r="AA4" s="98">
        <v>4</v>
      </c>
      <c r="AB4" s="98"/>
      <c r="AC4" s="99"/>
      <c r="AD4" s="68" t="s">
        <v>964</v>
      </c>
      <c r="AE4" s="73" t="s">
        <v>1075</v>
      </c>
      <c r="AF4" s="68">
        <v>539</v>
      </c>
      <c r="AG4" s="68">
        <v>1063</v>
      </c>
      <c r="AH4" s="68">
        <v>2203</v>
      </c>
      <c r="AI4" s="68">
        <v>893</v>
      </c>
      <c r="AJ4" s="68"/>
      <c r="AK4" s="68" t="s">
        <v>1181</v>
      </c>
      <c r="AL4" s="68" t="s">
        <v>1289</v>
      </c>
      <c r="AM4" s="72" t="str">
        <f>HYPERLINK("https://t.co/L2N6nYUA73")</f>
        <v>https://t.co/L2N6nYUA73</v>
      </c>
      <c r="AN4" s="68"/>
      <c r="AO4" s="70">
        <v>41894.436006944445</v>
      </c>
      <c r="AP4" s="72" t="str">
        <f>HYPERLINK("https://pbs.twimg.com/profile_banners/2805326246/1494236568")</f>
        <v>https://pbs.twimg.com/profile_banners/2805326246/1494236568</v>
      </c>
      <c r="AQ4" s="68" t="b">
        <v>0</v>
      </c>
      <c r="AR4" s="68" t="b">
        <v>0</v>
      </c>
      <c r="AS4" s="68" t="b">
        <v>1</v>
      </c>
      <c r="AT4" s="68"/>
      <c r="AU4" s="68">
        <v>15</v>
      </c>
      <c r="AV4" s="72" t="str">
        <f>HYPERLINK("https://abs.twimg.com/images/themes/theme1/bg.png")</f>
        <v>https://abs.twimg.com/images/themes/theme1/bg.png</v>
      </c>
      <c r="AW4" s="68" t="b">
        <v>0</v>
      </c>
      <c r="AX4" s="68" t="s">
        <v>331</v>
      </c>
      <c r="AY4" s="72" t="str">
        <f>HYPERLINK("https://twitter.com/dlrppn")</f>
        <v>https://twitter.com/dlrppn</v>
      </c>
      <c r="AZ4" s="68" t="s">
        <v>66</v>
      </c>
      <c r="BA4" s="67" t="str">
        <f>REPLACE(INDEX(GroupVertices[Group],MATCH(Vertices[[#This Row],[Vertex]],GroupVertices[Vertex],0)),1,1,"")</f>
        <v>23</v>
      </c>
      <c r="BB4" s="49">
        <v>2</v>
      </c>
      <c r="BC4" s="50">
        <v>4.878048780487805</v>
      </c>
      <c r="BD4" s="49">
        <v>0</v>
      </c>
      <c r="BE4" s="50">
        <v>0</v>
      </c>
      <c r="BF4" s="49">
        <v>0</v>
      </c>
      <c r="BG4" s="50">
        <v>0</v>
      </c>
      <c r="BH4" s="49">
        <v>39</v>
      </c>
      <c r="BI4" s="50">
        <v>95.1219512195122</v>
      </c>
      <c r="BJ4" s="49">
        <v>41</v>
      </c>
      <c r="BK4" s="49" t="s">
        <v>1715</v>
      </c>
      <c r="BL4" s="49" t="s">
        <v>1715</v>
      </c>
      <c r="BM4" s="49" t="s">
        <v>699</v>
      </c>
      <c r="BN4" s="49" t="s">
        <v>699</v>
      </c>
      <c r="BO4" s="49"/>
      <c r="BP4" s="49"/>
      <c r="BQ4" s="92" t="s">
        <v>1916</v>
      </c>
      <c r="BR4" s="92" t="s">
        <v>1916</v>
      </c>
      <c r="BS4" s="92" t="s">
        <v>1870</v>
      </c>
      <c r="BT4" s="92" t="s">
        <v>1870</v>
      </c>
      <c r="BU4" s="2"/>
      <c r="BV4" s="3"/>
      <c r="BW4" s="3"/>
      <c r="BX4" s="3"/>
      <c r="BY4" s="3"/>
    </row>
    <row r="5" spans="1:77" ht="15">
      <c r="A5" s="66" t="s">
        <v>543</v>
      </c>
      <c r="B5" s="84"/>
      <c r="C5" s="84"/>
      <c r="D5" s="94">
        <v>100</v>
      </c>
      <c r="E5" s="104"/>
      <c r="F5" s="81" t="str">
        <f>HYPERLINK("https://pbs.twimg.com/profile_images/428176724178640896/u0mj7b6X_normal.jpeg")</f>
        <v>https://pbs.twimg.com/profile_images/428176724178640896/u0mj7b6X_normal.jpeg</v>
      </c>
      <c r="G5" s="105"/>
      <c r="H5" s="82" t="s">
        <v>543</v>
      </c>
      <c r="I5" s="97"/>
      <c r="J5" s="106"/>
      <c r="K5" s="82" t="s">
        <v>1351</v>
      </c>
      <c r="L5" s="107">
        <v>1</v>
      </c>
      <c r="M5" s="101">
        <v>8134.77978515625</v>
      </c>
      <c r="N5" s="101">
        <v>3917.76953125</v>
      </c>
      <c r="O5" s="102"/>
      <c r="P5" s="103"/>
      <c r="Q5" s="103"/>
      <c r="R5" s="108"/>
      <c r="S5" s="49">
        <v>0</v>
      </c>
      <c r="T5" s="49">
        <v>1</v>
      </c>
      <c r="U5" s="50">
        <v>0</v>
      </c>
      <c r="V5" s="50">
        <v>0.008547</v>
      </c>
      <c r="W5" s="50">
        <v>0</v>
      </c>
      <c r="X5" s="50">
        <v>0.007883</v>
      </c>
      <c r="Y5" s="50">
        <v>0</v>
      </c>
      <c r="Z5" s="50">
        <v>0</v>
      </c>
      <c r="AA5" s="98">
        <v>5</v>
      </c>
      <c r="AB5" s="98"/>
      <c r="AC5" s="99"/>
      <c r="AD5" s="68" t="s">
        <v>965</v>
      </c>
      <c r="AE5" s="73" t="s">
        <v>1076</v>
      </c>
      <c r="AF5" s="68">
        <v>421</v>
      </c>
      <c r="AG5" s="68">
        <v>856</v>
      </c>
      <c r="AH5" s="68">
        <v>5008</v>
      </c>
      <c r="AI5" s="68">
        <v>9219</v>
      </c>
      <c r="AJ5" s="68"/>
      <c r="AK5" s="68" t="s">
        <v>1182</v>
      </c>
      <c r="AL5" s="68" t="s">
        <v>1290</v>
      </c>
      <c r="AM5" s="72" t="str">
        <f>HYPERLINK("https://t.co/okiSRyqRRB")</f>
        <v>https://t.co/okiSRyqRRB</v>
      </c>
      <c r="AN5" s="68"/>
      <c r="AO5" s="70">
        <v>41667.600902777776</v>
      </c>
      <c r="AP5" s="68"/>
      <c r="AQ5" s="68" t="b">
        <v>1</v>
      </c>
      <c r="AR5" s="68" t="b">
        <v>0</v>
      </c>
      <c r="AS5" s="68" t="b">
        <v>1</v>
      </c>
      <c r="AT5" s="68"/>
      <c r="AU5" s="68">
        <v>23</v>
      </c>
      <c r="AV5" s="72" t="str">
        <f>HYPERLINK("https://abs.twimg.com/images/themes/theme1/bg.png")</f>
        <v>https://abs.twimg.com/images/themes/theme1/bg.png</v>
      </c>
      <c r="AW5" s="68" t="b">
        <v>0</v>
      </c>
      <c r="AX5" s="68" t="s">
        <v>331</v>
      </c>
      <c r="AY5" s="72" t="str">
        <f>HYPERLINK("https://twitter.com/jimgildea2014")</f>
        <v>https://twitter.com/jimgildea2014</v>
      </c>
      <c r="AZ5" s="68" t="s">
        <v>66</v>
      </c>
      <c r="BA5" s="67" t="str">
        <f>REPLACE(INDEX(GroupVertices[Group],MATCH(Vertices[[#This Row],[Vertex]],GroupVertices[Vertex],0)),1,1,"")</f>
        <v>23</v>
      </c>
      <c r="BB5" s="49">
        <v>2</v>
      </c>
      <c r="BC5" s="50">
        <v>4.878048780487805</v>
      </c>
      <c r="BD5" s="49">
        <v>0</v>
      </c>
      <c r="BE5" s="50">
        <v>0</v>
      </c>
      <c r="BF5" s="49">
        <v>0</v>
      </c>
      <c r="BG5" s="50">
        <v>0</v>
      </c>
      <c r="BH5" s="49">
        <v>39</v>
      </c>
      <c r="BI5" s="50">
        <v>95.1219512195122</v>
      </c>
      <c r="BJ5" s="49">
        <v>41</v>
      </c>
      <c r="BK5" s="49" t="s">
        <v>1715</v>
      </c>
      <c r="BL5" s="49" t="s">
        <v>1715</v>
      </c>
      <c r="BM5" s="49" t="s">
        <v>699</v>
      </c>
      <c r="BN5" s="49" t="s">
        <v>699</v>
      </c>
      <c r="BO5" s="49"/>
      <c r="BP5" s="49"/>
      <c r="BQ5" s="92" t="s">
        <v>1916</v>
      </c>
      <c r="BR5" s="92" t="s">
        <v>1916</v>
      </c>
      <c r="BS5" s="92" t="s">
        <v>1870</v>
      </c>
      <c r="BT5" s="92" t="s">
        <v>1870</v>
      </c>
      <c r="BU5" s="2"/>
      <c r="BV5" s="3"/>
      <c r="BW5" s="3"/>
      <c r="BX5" s="3"/>
      <c r="BY5" s="3"/>
    </row>
    <row r="6" spans="1:77" ht="15">
      <c r="A6" s="66" t="s">
        <v>544</v>
      </c>
      <c r="B6" s="84"/>
      <c r="C6" s="84"/>
      <c r="D6" s="94">
        <v>100</v>
      </c>
      <c r="E6" s="104"/>
      <c r="F6" s="81" t="str">
        <f>HYPERLINK("https://pbs.twimg.com/profile_images/759282364371599361/qiX0fEdA_normal.jpg")</f>
        <v>https://pbs.twimg.com/profile_images/759282364371599361/qiX0fEdA_normal.jpg</v>
      </c>
      <c r="G6" s="105"/>
      <c r="H6" s="82" t="s">
        <v>544</v>
      </c>
      <c r="I6" s="97"/>
      <c r="J6" s="106"/>
      <c r="K6" s="82" t="s">
        <v>1352</v>
      </c>
      <c r="L6" s="107">
        <v>1</v>
      </c>
      <c r="M6" s="101">
        <v>6182.291015625</v>
      </c>
      <c r="N6" s="101">
        <v>1619.793212890625</v>
      </c>
      <c r="O6" s="102"/>
      <c r="P6" s="103"/>
      <c r="Q6" s="103"/>
      <c r="R6" s="108"/>
      <c r="S6" s="49">
        <v>1</v>
      </c>
      <c r="T6" s="49">
        <v>1</v>
      </c>
      <c r="U6" s="50">
        <v>0</v>
      </c>
      <c r="V6" s="50">
        <v>0.017094</v>
      </c>
      <c r="W6" s="50">
        <v>0</v>
      </c>
      <c r="X6" s="50">
        <v>0.008475</v>
      </c>
      <c r="Y6" s="50">
        <v>0.5</v>
      </c>
      <c r="Z6" s="50">
        <v>0</v>
      </c>
      <c r="AA6" s="98">
        <v>6</v>
      </c>
      <c r="AB6" s="98"/>
      <c r="AC6" s="99"/>
      <c r="AD6" s="68" t="s">
        <v>966</v>
      </c>
      <c r="AE6" s="73" t="s">
        <v>1077</v>
      </c>
      <c r="AF6" s="68">
        <v>2398</v>
      </c>
      <c r="AG6" s="68">
        <v>2622</v>
      </c>
      <c r="AH6" s="68">
        <v>157</v>
      </c>
      <c r="AI6" s="68">
        <v>484</v>
      </c>
      <c r="AJ6" s="68"/>
      <c r="AK6" s="68" t="s">
        <v>1183</v>
      </c>
      <c r="AL6" s="68" t="s">
        <v>326</v>
      </c>
      <c r="AM6" s="72" t="str">
        <f>HYPERLINK("https://t.co/cMXJdw9OuQ")</f>
        <v>https://t.co/cMXJdw9OuQ</v>
      </c>
      <c r="AN6" s="68"/>
      <c r="AO6" s="70">
        <v>42581.259780092594</v>
      </c>
      <c r="AP6" s="72" t="str">
        <f>HYPERLINK("https://pbs.twimg.com/profile_banners/759270824117411840/1650936202")</f>
        <v>https://pbs.twimg.com/profile_banners/759270824117411840/1650936202</v>
      </c>
      <c r="AQ6" s="68" t="b">
        <v>0</v>
      </c>
      <c r="AR6" s="68" t="b">
        <v>0</v>
      </c>
      <c r="AS6" s="68" t="b">
        <v>0</v>
      </c>
      <c r="AT6" s="68"/>
      <c r="AU6" s="68">
        <v>41</v>
      </c>
      <c r="AV6" s="72" t="str">
        <f>HYPERLINK("https://abs.twimg.com/images/themes/theme1/bg.png")</f>
        <v>https://abs.twimg.com/images/themes/theme1/bg.png</v>
      </c>
      <c r="AW6" s="68" t="b">
        <v>0</v>
      </c>
      <c r="AX6" s="68" t="s">
        <v>331</v>
      </c>
      <c r="AY6" s="72" t="str">
        <f>HYPERLINK("https://twitter.com/rich_homewood")</f>
        <v>https://twitter.com/rich_homewood</v>
      </c>
      <c r="AZ6" s="68" t="s">
        <v>66</v>
      </c>
      <c r="BA6" s="67" t="str">
        <f>REPLACE(INDEX(GroupVertices[Group],MATCH(Vertices[[#This Row],[Vertex]],GroupVertices[Vertex],0)),1,1,"")</f>
        <v>13</v>
      </c>
      <c r="BB6" s="49">
        <v>1</v>
      </c>
      <c r="BC6" s="50">
        <v>2.380952380952381</v>
      </c>
      <c r="BD6" s="49">
        <v>0</v>
      </c>
      <c r="BE6" s="50">
        <v>0</v>
      </c>
      <c r="BF6" s="49">
        <v>0</v>
      </c>
      <c r="BG6" s="50">
        <v>0</v>
      </c>
      <c r="BH6" s="49">
        <v>41</v>
      </c>
      <c r="BI6" s="50">
        <v>97.61904761904762</v>
      </c>
      <c r="BJ6" s="49">
        <v>42</v>
      </c>
      <c r="BK6" s="49" t="s">
        <v>1714</v>
      </c>
      <c r="BL6" s="49" t="s">
        <v>1714</v>
      </c>
      <c r="BM6" s="49" t="s">
        <v>269</v>
      </c>
      <c r="BN6" s="49" t="s">
        <v>269</v>
      </c>
      <c r="BO6" s="49"/>
      <c r="BP6" s="49"/>
      <c r="BQ6" s="92" t="s">
        <v>1789</v>
      </c>
      <c r="BR6" s="92" t="s">
        <v>1789</v>
      </c>
      <c r="BS6" s="92" t="s">
        <v>1868</v>
      </c>
      <c r="BT6" s="92" t="s">
        <v>1868</v>
      </c>
      <c r="BU6" s="2"/>
      <c r="BV6" s="3"/>
      <c r="BW6" s="3"/>
      <c r="BX6" s="3"/>
      <c r="BY6" s="3"/>
    </row>
    <row r="7" spans="1:77" ht="15">
      <c r="A7" s="66" t="s">
        <v>638</v>
      </c>
      <c r="B7" s="84"/>
      <c r="C7" s="84"/>
      <c r="D7" s="94">
        <v>100</v>
      </c>
      <c r="E7" s="104"/>
      <c r="F7" s="81" t="str">
        <f>HYPERLINK("https://pbs.twimg.com/profile_images/1265476324941946881/FXC0NsAO_normal.jpg")</f>
        <v>https://pbs.twimg.com/profile_images/1265476324941946881/FXC0NsAO_normal.jpg</v>
      </c>
      <c r="G7" s="105"/>
      <c r="H7" s="82" t="s">
        <v>638</v>
      </c>
      <c r="I7" s="97"/>
      <c r="J7" s="106"/>
      <c r="K7" s="82" t="s">
        <v>1353</v>
      </c>
      <c r="L7" s="107">
        <v>1</v>
      </c>
      <c r="M7" s="101">
        <v>5666.80615234375</v>
      </c>
      <c r="N7" s="101">
        <v>1619.793212890625</v>
      </c>
      <c r="O7" s="102"/>
      <c r="P7" s="103"/>
      <c r="Q7" s="103"/>
      <c r="R7" s="108"/>
      <c r="S7" s="49">
        <v>2</v>
      </c>
      <c r="T7" s="49">
        <v>0</v>
      </c>
      <c r="U7" s="50">
        <v>0</v>
      </c>
      <c r="V7" s="50">
        <v>0.017094</v>
      </c>
      <c r="W7" s="50">
        <v>0</v>
      </c>
      <c r="X7" s="50">
        <v>0.008475</v>
      </c>
      <c r="Y7" s="50">
        <v>0.5</v>
      </c>
      <c r="Z7" s="50">
        <v>0</v>
      </c>
      <c r="AA7" s="98">
        <v>7</v>
      </c>
      <c r="AB7" s="98"/>
      <c r="AC7" s="99"/>
      <c r="AD7" s="68" t="s">
        <v>967</v>
      </c>
      <c r="AE7" s="73" t="s">
        <v>1078</v>
      </c>
      <c r="AF7" s="68">
        <v>2120</v>
      </c>
      <c r="AG7" s="68">
        <v>35727</v>
      </c>
      <c r="AH7" s="68">
        <v>17003</v>
      </c>
      <c r="AI7" s="68">
        <v>14371</v>
      </c>
      <c r="AJ7" s="68"/>
      <c r="AK7" s="68" t="s">
        <v>1184</v>
      </c>
      <c r="AL7" s="68" t="s">
        <v>1291</v>
      </c>
      <c r="AM7" s="72" t="str">
        <f>HYPERLINK("https://t.co/s9k85iAHLa")</f>
        <v>https://t.co/s9k85iAHLa</v>
      </c>
      <c r="AN7" s="68"/>
      <c r="AO7" s="70">
        <v>39919.04231481482</v>
      </c>
      <c r="AP7" s="72" t="str">
        <f>HYPERLINK("https://pbs.twimg.com/profile_banners/31583101/1549346443")</f>
        <v>https://pbs.twimg.com/profile_banners/31583101/1549346443</v>
      </c>
      <c r="AQ7" s="68" t="b">
        <v>0</v>
      </c>
      <c r="AR7" s="68" t="b">
        <v>0</v>
      </c>
      <c r="AS7" s="68" t="b">
        <v>1</v>
      </c>
      <c r="AT7" s="68"/>
      <c r="AU7" s="68">
        <v>311</v>
      </c>
      <c r="AV7" s="72" t="str">
        <f>HYPERLINK("https://abs.twimg.com/images/themes/theme7/bg.gif")</f>
        <v>https://abs.twimg.com/images/themes/theme7/bg.gif</v>
      </c>
      <c r="AW7" s="68" t="b">
        <v>1</v>
      </c>
      <c r="AX7" s="68" t="s">
        <v>331</v>
      </c>
      <c r="AY7" s="72" t="str">
        <f>HYPERLINK("https://twitter.com/jamespeshaw")</f>
        <v>https://twitter.com/jamespeshaw</v>
      </c>
      <c r="AZ7" s="68" t="s">
        <v>65</v>
      </c>
      <c r="BA7" s="67"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545</v>
      </c>
      <c r="B8" s="84"/>
      <c r="C8" s="84"/>
      <c r="D8" s="94">
        <v>100</v>
      </c>
      <c r="E8" s="104"/>
      <c r="F8" s="81" t="str">
        <f>HYPERLINK("https://pbs.twimg.com/profile_images/1364092440911568896/Q-iuTOXG_normal.jpg")</f>
        <v>https://pbs.twimg.com/profile_images/1364092440911568896/Q-iuTOXG_normal.jpg</v>
      </c>
      <c r="G8" s="105"/>
      <c r="H8" s="82" t="s">
        <v>545</v>
      </c>
      <c r="I8" s="97"/>
      <c r="J8" s="106"/>
      <c r="K8" s="82" t="s">
        <v>1354</v>
      </c>
      <c r="L8" s="107">
        <v>1</v>
      </c>
      <c r="M8" s="101">
        <v>5666.80615234375</v>
      </c>
      <c r="N8" s="101">
        <v>689.3929443359375</v>
      </c>
      <c r="O8" s="102"/>
      <c r="P8" s="103"/>
      <c r="Q8" s="103"/>
      <c r="R8" s="108"/>
      <c r="S8" s="49">
        <v>0</v>
      </c>
      <c r="T8" s="49">
        <v>2</v>
      </c>
      <c r="U8" s="50">
        <v>0</v>
      </c>
      <c r="V8" s="50">
        <v>0.017094</v>
      </c>
      <c r="W8" s="50">
        <v>0</v>
      </c>
      <c r="X8" s="50">
        <v>0.008475</v>
      </c>
      <c r="Y8" s="50">
        <v>0.5</v>
      </c>
      <c r="Z8" s="50">
        <v>0</v>
      </c>
      <c r="AA8" s="98">
        <v>8</v>
      </c>
      <c r="AB8" s="98"/>
      <c r="AC8" s="99"/>
      <c r="AD8" s="68" t="s">
        <v>968</v>
      </c>
      <c r="AE8" s="73" t="s">
        <v>1079</v>
      </c>
      <c r="AF8" s="68">
        <v>127</v>
      </c>
      <c r="AG8" s="68">
        <v>317</v>
      </c>
      <c r="AH8" s="68">
        <v>48282</v>
      </c>
      <c r="AI8" s="68">
        <v>16466</v>
      </c>
      <c r="AJ8" s="68"/>
      <c r="AK8" s="68" t="s">
        <v>1185</v>
      </c>
      <c r="AL8" s="68" t="s">
        <v>1292</v>
      </c>
      <c r="AM8" s="68"/>
      <c r="AN8" s="68"/>
      <c r="AO8" s="70">
        <v>44104.25033564815</v>
      </c>
      <c r="AP8" s="72" t="str">
        <f>HYPERLINK("https://pbs.twimg.com/profile_banners/1311183942037327872/1601459439")</f>
        <v>https://pbs.twimg.com/profile_banners/1311183942037327872/1601459439</v>
      </c>
      <c r="AQ8" s="68" t="b">
        <v>1</v>
      </c>
      <c r="AR8" s="68" t="b">
        <v>0</v>
      </c>
      <c r="AS8" s="68" t="b">
        <v>0</v>
      </c>
      <c r="AT8" s="68"/>
      <c r="AU8" s="68">
        <v>4</v>
      </c>
      <c r="AV8" s="68"/>
      <c r="AW8" s="68" t="b">
        <v>0</v>
      </c>
      <c r="AX8" s="68" t="s">
        <v>331</v>
      </c>
      <c r="AY8" s="72" t="str">
        <f>HYPERLINK("https://twitter.com/isalutem")</f>
        <v>https://twitter.com/isalutem</v>
      </c>
      <c r="AZ8" s="68" t="s">
        <v>66</v>
      </c>
      <c r="BA8" s="67" t="str">
        <f>REPLACE(INDEX(GroupVertices[Group],MATCH(Vertices[[#This Row],[Vertex]],GroupVertices[Vertex],0)),1,1,"")</f>
        <v>13</v>
      </c>
      <c r="BB8" s="49">
        <v>1</v>
      </c>
      <c r="BC8" s="50">
        <v>2.380952380952381</v>
      </c>
      <c r="BD8" s="49">
        <v>0</v>
      </c>
      <c r="BE8" s="50">
        <v>0</v>
      </c>
      <c r="BF8" s="49">
        <v>0</v>
      </c>
      <c r="BG8" s="50">
        <v>0</v>
      </c>
      <c r="BH8" s="49">
        <v>41</v>
      </c>
      <c r="BI8" s="50">
        <v>97.61904761904762</v>
      </c>
      <c r="BJ8" s="49">
        <v>42</v>
      </c>
      <c r="BK8" s="49" t="s">
        <v>1714</v>
      </c>
      <c r="BL8" s="49" t="s">
        <v>1714</v>
      </c>
      <c r="BM8" s="49" t="s">
        <v>269</v>
      </c>
      <c r="BN8" s="49" t="s">
        <v>269</v>
      </c>
      <c r="BO8" s="49"/>
      <c r="BP8" s="49"/>
      <c r="BQ8" s="92" t="s">
        <v>1789</v>
      </c>
      <c r="BR8" s="92" t="s">
        <v>1789</v>
      </c>
      <c r="BS8" s="92" t="s">
        <v>1868</v>
      </c>
      <c r="BT8" s="92" t="s">
        <v>1868</v>
      </c>
      <c r="BU8" s="2"/>
      <c r="BV8" s="3"/>
      <c r="BW8" s="3"/>
      <c r="BX8" s="3"/>
      <c r="BY8" s="3"/>
    </row>
    <row r="9" spans="1:72" ht="15">
      <c r="A9" s="66" t="s">
        <v>546</v>
      </c>
      <c r="B9" s="84"/>
      <c r="C9" s="84"/>
      <c r="D9" s="94">
        <v>100</v>
      </c>
      <c r="E9" s="104"/>
      <c r="F9" s="81" t="str">
        <f>HYPERLINK("https://pbs.twimg.com/profile_images/1427746641507926017/U0lqvD2s_normal.jpg")</f>
        <v>https://pbs.twimg.com/profile_images/1427746641507926017/U0lqvD2s_normal.jpg</v>
      </c>
      <c r="G9" s="105"/>
      <c r="H9" s="82" t="s">
        <v>546</v>
      </c>
      <c r="I9" s="97"/>
      <c r="J9" s="106"/>
      <c r="K9" s="82" t="s">
        <v>1355</v>
      </c>
      <c r="L9" s="107">
        <v>1</v>
      </c>
      <c r="M9" s="101">
        <v>3318.877197265625</v>
      </c>
      <c r="N9" s="101">
        <v>1804.752197265625</v>
      </c>
      <c r="O9" s="102"/>
      <c r="P9" s="103"/>
      <c r="Q9" s="103"/>
      <c r="R9" s="108"/>
      <c r="S9" s="49">
        <v>1</v>
      </c>
      <c r="T9" s="49">
        <v>1</v>
      </c>
      <c r="U9" s="50">
        <v>0</v>
      </c>
      <c r="V9" s="50">
        <v>0</v>
      </c>
      <c r="W9" s="50">
        <v>0</v>
      </c>
      <c r="X9" s="50">
        <v>0.008475</v>
      </c>
      <c r="Y9" s="50">
        <v>0</v>
      </c>
      <c r="Z9" s="50">
        <v>0</v>
      </c>
      <c r="AA9" s="98">
        <v>9</v>
      </c>
      <c r="AB9" s="98"/>
      <c r="AC9" s="99"/>
      <c r="AD9" s="68" t="s">
        <v>969</v>
      </c>
      <c r="AE9" s="73" t="s">
        <v>1080</v>
      </c>
      <c r="AF9" s="68">
        <v>6</v>
      </c>
      <c r="AG9" s="68">
        <v>42</v>
      </c>
      <c r="AH9" s="68">
        <v>6400</v>
      </c>
      <c r="AI9" s="68">
        <v>1227</v>
      </c>
      <c r="AJ9" s="68"/>
      <c r="AK9" s="68" t="s">
        <v>1186</v>
      </c>
      <c r="AL9" s="68" t="s">
        <v>1293</v>
      </c>
      <c r="AM9" s="72" t="str">
        <f>HYPERLINK("https://t.co/Tc6w1xrR1w")</f>
        <v>https://t.co/Tc6w1xrR1w</v>
      </c>
      <c r="AN9" s="68"/>
      <c r="AO9" s="70">
        <v>40548.88621527778</v>
      </c>
      <c r="AP9" s="72" t="str">
        <f>HYPERLINK("https://pbs.twimg.com/profile_banners/234516291/1642349389")</f>
        <v>https://pbs.twimg.com/profile_banners/234516291/1642349389</v>
      </c>
      <c r="AQ9" s="68" t="b">
        <v>0</v>
      </c>
      <c r="AR9" s="68" t="b">
        <v>0</v>
      </c>
      <c r="AS9" s="68" t="b">
        <v>0</v>
      </c>
      <c r="AT9" s="68"/>
      <c r="AU9" s="68">
        <v>1</v>
      </c>
      <c r="AV9" s="72" t="str">
        <f>HYPERLINK("https://abs.twimg.com/images/themes/theme1/bg.png")</f>
        <v>https://abs.twimg.com/images/themes/theme1/bg.png</v>
      </c>
      <c r="AW9" s="68" t="b">
        <v>0</v>
      </c>
      <c r="AX9" s="68" t="s">
        <v>331</v>
      </c>
      <c r="AY9" s="72" t="str">
        <f>HYPERLINK("https://twitter.com/matthewprimous")</f>
        <v>https://twitter.com/matthewprimous</v>
      </c>
      <c r="AZ9" s="68" t="s">
        <v>66</v>
      </c>
      <c r="BA9" s="67" t="str">
        <f>REPLACE(INDEX(GroupVertices[Group],MATCH(Vertices[[#This Row],[Vertex]],GroupVertices[Vertex],0)),1,1,"")</f>
        <v>2</v>
      </c>
      <c r="BB9" s="49">
        <v>5</v>
      </c>
      <c r="BC9" s="50">
        <v>12.820512820512821</v>
      </c>
      <c r="BD9" s="49">
        <v>0</v>
      </c>
      <c r="BE9" s="50">
        <v>0</v>
      </c>
      <c r="BF9" s="49">
        <v>0</v>
      </c>
      <c r="BG9" s="50">
        <v>0</v>
      </c>
      <c r="BH9" s="49">
        <v>34</v>
      </c>
      <c r="BI9" s="50">
        <v>87.17948717948718</v>
      </c>
      <c r="BJ9" s="49">
        <v>39</v>
      </c>
      <c r="BK9" s="49"/>
      <c r="BL9" s="49"/>
      <c r="BM9" s="49"/>
      <c r="BN9" s="49"/>
      <c r="BO9" s="49"/>
      <c r="BP9" s="49"/>
      <c r="BQ9" s="92" t="s">
        <v>1917</v>
      </c>
      <c r="BR9" s="92" t="s">
        <v>1917</v>
      </c>
      <c r="BS9" s="92" t="s">
        <v>1962</v>
      </c>
      <c r="BT9" s="92" t="s">
        <v>1962</v>
      </c>
    </row>
    <row r="10" spans="1:72" ht="15">
      <c r="A10" s="66" t="s">
        <v>547</v>
      </c>
      <c r="B10" s="84"/>
      <c r="C10" s="84"/>
      <c r="D10" s="94">
        <v>100</v>
      </c>
      <c r="E10" s="104"/>
      <c r="F10" s="81" t="str">
        <f>HYPERLINK("https://pbs.twimg.com/profile_images/1101005236825673728/bZ4xEtb0_normal.png")</f>
        <v>https://pbs.twimg.com/profile_images/1101005236825673728/bZ4xEtb0_normal.png</v>
      </c>
      <c r="G10" s="105"/>
      <c r="H10" s="82" t="s">
        <v>547</v>
      </c>
      <c r="I10" s="97"/>
      <c r="J10" s="106"/>
      <c r="K10" s="82" t="s">
        <v>1356</v>
      </c>
      <c r="L10" s="107">
        <v>1</v>
      </c>
      <c r="M10" s="101">
        <v>1906.5889892578125</v>
      </c>
      <c r="N10" s="101">
        <v>1804.752197265625</v>
      </c>
      <c r="O10" s="102"/>
      <c r="P10" s="103"/>
      <c r="Q10" s="103"/>
      <c r="R10" s="108"/>
      <c r="S10" s="49">
        <v>1</v>
      </c>
      <c r="T10" s="49">
        <v>1</v>
      </c>
      <c r="U10" s="50">
        <v>0</v>
      </c>
      <c r="V10" s="50">
        <v>0</v>
      </c>
      <c r="W10" s="50">
        <v>0</v>
      </c>
      <c r="X10" s="50">
        <v>0.008475</v>
      </c>
      <c r="Y10" s="50">
        <v>0</v>
      </c>
      <c r="Z10" s="50">
        <v>0</v>
      </c>
      <c r="AA10" s="98">
        <v>10</v>
      </c>
      <c r="AB10" s="98"/>
      <c r="AC10" s="99"/>
      <c r="AD10" s="68" t="s">
        <v>970</v>
      </c>
      <c r="AE10" s="73" t="s">
        <v>1081</v>
      </c>
      <c r="AF10" s="68">
        <v>199</v>
      </c>
      <c r="AG10" s="68">
        <v>576</v>
      </c>
      <c r="AH10" s="68">
        <v>1206</v>
      </c>
      <c r="AI10" s="68">
        <v>665</v>
      </c>
      <c r="AJ10" s="68"/>
      <c r="AK10" s="68" t="s">
        <v>1187</v>
      </c>
      <c r="AL10" s="68" t="s">
        <v>1294</v>
      </c>
      <c r="AM10" s="72" t="str">
        <f>HYPERLINK("https://t.co/Lovk29Mj4l")</f>
        <v>https://t.co/Lovk29Mj4l</v>
      </c>
      <c r="AN10" s="68"/>
      <c r="AO10" s="70">
        <v>43161.08789351852</v>
      </c>
      <c r="AP10" s="72" t="str">
        <f>HYPERLINK("https://pbs.twimg.com/profile_banners/969393496753934336/1614670598")</f>
        <v>https://pbs.twimg.com/profile_banners/969393496753934336/1614670598</v>
      </c>
      <c r="AQ10" s="68" t="b">
        <v>1</v>
      </c>
      <c r="AR10" s="68" t="b">
        <v>0</v>
      </c>
      <c r="AS10" s="68" t="b">
        <v>1</v>
      </c>
      <c r="AT10" s="68"/>
      <c r="AU10" s="68">
        <v>8</v>
      </c>
      <c r="AV10" s="68"/>
      <c r="AW10" s="68" t="b">
        <v>0</v>
      </c>
      <c r="AX10" s="68" t="s">
        <v>331</v>
      </c>
      <c r="AY10" s="72" t="str">
        <f>HYPERLINK("https://twitter.com/globalcompactsa")</f>
        <v>https://twitter.com/globalcompactsa</v>
      </c>
      <c r="AZ10" s="68" t="s">
        <v>66</v>
      </c>
      <c r="BA10" s="67" t="str">
        <f>REPLACE(INDEX(GroupVertices[Group],MATCH(Vertices[[#This Row],[Vertex]],GroupVertices[Vertex],0)),1,1,"")</f>
        <v>2</v>
      </c>
      <c r="BB10" s="49">
        <v>0</v>
      </c>
      <c r="BC10" s="50">
        <v>0</v>
      </c>
      <c r="BD10" s="49">
        <v>0</v>
      </c>
      <c r="BE10" s="50">
        <v>0</v>
      </c>
      <c r="BF10" s="49">
        <v>0</v>
      </c>
      <c r="BG10" s="50">
        <v>0</v>
      </c>
      <c r="BH10" s="49">
        <v>35</v>
      </c>
      <c r="BI10" s="50">
        <v>100</v>
      </c>
      <c r="BJ10" s="49">
        <v>35</v>
      </c>
      <c r="BK10" s="49" t="s">
        <v>1717</v>
      </c>
      <c r="BL10" s="49" t="s">
        <v>1717</v>
      </c>
      <c r="BM10" s="49" t="s">
        <v>700</v>
      </c>
      <c r="BN10" s="49" t="s">
        <v>700</v>
      </c>
      <c r="BO10" s="49" t="s">
        <v>709</v>
      </c>
      <c r="BP10" s="49" t="s">
        <v>709</v>
      </c>
      <c r="BQ10" s="92" t="s">
        <v>1918</v>
      </c>
      <c r="BR10" s="92" t="s">
        <v>1918</v>
      </c>
      <c r="BS10" s="92" t="s">
        <v>1963</v>
      </c>
      <c r="BT10" s="92" t="s">
        <v>1963</v>
      </c>
    </row>
    <row r="11" spans="1:72" ht="15">
      <c r="A11" s="66" t="s">
        <v>548</v>
      </c>
      <c r="B11" s="84"/>
      <c r="C11" s="84"/>
      <c r="D11" s="94">
        <v>100</v>
      </c>
      <c r="E11" s="104"/>
      <c r="F11" s="81" t="str">
        <f>HYPERLINK("https://pbs.twimg.com/profile_images/1322152253038469120/na_2UFKX_normal.png")</f>
        <v>https://pbs.twimg.com/profile_images/1322152253038469120/na_2UFKX_normal.png</v>
      </c>
      <c r="G11" s="105"/>
      <c r="H11" s="82" t="s">
        <v>548</v>
      </c>
      <c r="I11" s="97"/>
      <c r="J11" s="106"/>
      <c r="K11" s="82" t="s">
        <v>1357</v>
      </c>
      <c r="L11" s="107">
        <v>1</v>
      </c>
      <c r="M11" s="101">
        <v>494.30084228515625</v>
      </c>
      <c r="N11" s="101">
        <v>1804.752197265625</v>
      </c>
      <c r="O11" s="102"/>
      <c r="P11" s="103"/>
      <c r="Q11" s="103"/>
      <c r="R11" s="108"/>
      <c r="S11" s="49">
        <v>1</v>
      </c>
      <c r="T11" s="49">
        <v>1</v>
      </c>
      <c r="U11" s="50">
        <v>0</v>
      </c>
      <c r="V11" s="50">
        <v>0</v>
      </c>
      <c r="W11" s="50">
        <v>0</v>
      </c>
      <c r="X11" s="50">
        <v>0.008475</v>
      </c>
      <c r="Y11" s="50">
        <v>0</v>
      </c>
      <c r="Z11" s="50">
        <v>0</v>
      </c>
      <c r="AA11" s="98">
        <v>11</v>
      </c>
      <c r="AB11" s="98"/>
      <c r="AC11" s="99"/>
      <c r="AD11" s="68" t="s">
        <v>971</v>
      </c>
      <c r="AE11" s="73" t="s">
        <v>1082</v>
      </c>
      <c r="AF11" s="68">
        <v>642</v>
      </c>
      <c r="AG11" s="68">
        <v>134</v>
      </c>
      <c r="AH11" s="68">
        <v>354</v>
      </c>
      <c r="AI11" s="68">
        <v>117</v>
      </c>
      <c r="AJ11" s="68"/>
      <c r="AK11" s="68" t="s">
        <v>1188</v>
      </c>
      <c r="AL11" s="68" t="s">
        <v>1295</v>
      </c>
      <c r="AM11" s="72" t="str">
        <f>HYPERLINK("https://t.co/WT80C8rHtu")</f>
        <v>https://t.co/WT80C8rHtu</v>
      </c>
      <c r="AN11" s="68"/>
      <c r="AO11" s="70">
        <v>42927.68424768518</v>
      </c>
      <c r="AP11" s="72" t="str">
        <f>HYPERLINK("https://pbs.twimg.com/profile_banners/884810847608025088/1604060638")</f>
        <v>https://pbs.twimg.com/profile_banners/884810847608025088/1604060638</v>
      </c>
      <c r="AQ11" s="68" t="b">
        <v>0</v>
      </c>
      <c r="AR11" s="68" t="b">
        <v>0</v>
      </c>
      <c r="AS11" s="68" t="b">
        <v>0</v>
      </c>
      <c r="AT11" s="68"/>
      <c r="AU11" s="68">
        <v>1</v>
      </c>
      <c r="AV11" s="72" t="str">
        <f>HYPERLINK("https://abs.twimg.com/images/themes/theme1/bg.png")</f>
        <v>https://abs.twimg.com/images/themes/theme1/bg.png</v>
      </c>
      <c r="AW11" s="68" t="b">
        <v>0</v>
      </c>
      <c r="AX11" s="68" t="s">
        <v>331</v>
      </c>
      <c r="AY11" s="72" t="str">
        <f>HYPERLINK("https://twitter.com/lawler_consult")</f>
        <v>https://twitter.com/lawler_consult</v>
      </c>
      <c r="AZ11" s="68" t="s">
        <v>66</v>
      </c>
      <c r="BA11" s="67" t="str">
        <f>REPLACE(INDEX(GroupVertices[Group],MATCH(Vertices[[#This Row],[Vertex]],GroupVertices[Vertex],0)),1,1,"")</f>
        <v>2</v>
      </c>
      <c r="BB11" s="49">
        <v>0</v>
      </c>
      <c r="BC11" s="50">
        <v>0</v>
      </c>
      <c r="BD11" s="49">
        <v>0</v>
      </c>
      <c r="BE11" s="50">
        <v>0</v>
      </c>
      <c r="BF11" s="49">
        <v>0</v>
      </c>
      <c r="BG11" s="50">
        <v>0</v>
      </c>
      <c r="BH11" s="49">
        <v>43</v>
      </c>
      <c r="BI11" s="50">
        <v>100</v>
      </c>
      <c r="BJ11" s="49">
        <v>43</v>
      </c>
      <c r="BK11" s="49" t="s">
        <v>1718</v>
      </c>
      <c r="BL11" s="49" t="s">
        <v>1718</v>
      </c>
      <c r="BM11" s="49" t="s">
        <v>701</v>
      </c>
      <c r="BN11" s="49" t="s">
        <v>701</v>
      </c>
      <c r="BO11" s="49" t="s">
        <v>710</v>
      </c>
      <c r="BP11" s="49" t="s">
        <v>710</v>
      </c>
      <c r="BQ11" s="92" t="s">
        <v>1919</v>
      </c>
      <c r="BR11" s="92" t="s">
        <v>1919</v>
      </c>
      <c r="BS11" s="92" t="s">
        <v>1964</v>
      </c>
      <c r="BT11" s="92" t="s">
        <v>1964</v>
      </c>
    </row>
    <row r="12" spans="1:72" ht="15">
      <c r="A12" s="66" t="s">
        <v>549</v>
      </c>
      <c r="B12" s="84"/>
      <c r="C12" s="84"/>
      <c r="D12" s="94">
        <v>100</v>
      </c>
      <c r="E12" s="104"/>
      <c r="F12" s="81" t="str">
        <f>HYPERLINK("https://pbs.twimg.com/profile_images/1237189879114674176/bNuhtQ-a_normal.jpg")</f>
        <v>https://pbs.twimg.com/profile_images/1237189879114674176/bNuhtQ-a_normal.jpg</v>
      </c>
      <c r="G12" s="105"/>
      <c r="H12" s="82" t="s">
        <v>549</v>
      </c>
      <c r="I12" s="97"/>
      <c r="J12" s="106"/>
      <c r="K12" s="82" t="s">
        <v>1358</v>
      </c>
      <c r="L12" s="107">
        <v>1</v>
      </c>
      <c r="M12" s="101">
        <v>9328.1630859375</v>
      </c>
      <c r="N12" s="101">
        <v>3917.76953125</v>
      </c>
      <c r="O12" s="102"/>
      <c r="P12" s="103"/>
      <c r="Q12" s="103"/>
      <c r="R12" s="108"/>
      <c r="S12" s="49">
        <v>0</v>
      </c>
      <c r="T12" s="49">
        <v>1</v>
      </c>
      <c r="U12" s="50">
        <v>0</v>
      </c>
      <c r="V12" s="50">
        <v>0.008547</v>
      </c>
      <c r="W12" s="50">
        <v>0</v>
      </c>
      <c r="X12" s="50">
        <v>0.008475</v>
      </c>
      <c r="Y12" s="50">
        <v>0</v>
      </c>
      <c r="Z12" s="50">
        <v>0</v>
      </c>
      <c r="AA12" s="98">
        <v>12</v>
      </c>
      <c r="AB12" s="98"/>
      <c r="AC12" s="99"/>
      <c r="AD12" s="68" t="s">
        <v>972</v>
      </c>
      <c r="AE12" s="73" t="s">
        <v>1083</v>
      </c>
      <c r="AF12" s="68">
        <v>217</v>
      </c>
      <c r="AG12" s="68">
        <v>1695</v>
      </c>
      <c r="AH12" s="68">
        <v>14689</v>
      </c>
      <c r="AI12" s="68">
        <v>6758</v>
      </c>
      <c r="AJ12" s="68"/>
      <c r="AK12" s="68" t="s">
        <v>1189</v>
      </c>
      <c r="AL12" s="68" t="s">
        <v>1296</v>
      </c>
      <c r="AM12" s="68"/>
      <c r="AN12" s="68"/>
      <c r="AO12" s="70">
        <v>40312.74638888889</v>
      </c>
      <c r="AP12" s="72" t="str">
        <f>HYPERLINK("https://pbs.twimg.com/profile_banners/143885561/1583804029")</f>
        <v>https://pbs.twimg.com/profile_banners/143885561/1583804029</v>
      </c>
      <c r="AQ12" s="68" t="b">
        <v>0</v>
      </c>
      <c r="AR12" s="68" t="b">
        <v>0</v>
      </c>
      <c r="AS12" s="68" t="b">
        <v>0</v>
      </c>
      <c r="AT12" s="68"/>
      <c r="AU12" s="68">
        <v>47</v>
      </c>
      <c r="AV12" s="72" t="str">
        <f>HYPERLINK("https://abs.twimg.com/images/themes/theme2/bg.gif")</f>
        <v>https://abs.twimg.com/images/themes/theme2/bg.gif</v>
      </c>
      <c r="AW12" s="68" t="b">
        <v>0</v>
      </c>
      <c r="AX12" s="68" t="s">
        <v>331</v>
      </c>
      <c r="AY12" s="72" t="str">
        <f>HYPERLINK("https://twitter.com/michaelpolanyi")</f>
        <v>https://twitter.com/michaelpolanyi</v>
      </c>
      <c r="AZ12" s="68" t="s">
        <v>66</v>
      </c>
      <c r="BA12" s="67" t="str">
        <f>REPLACE(INDEX(GroupVertices[Group],MATCH(Vertices[[#This Row],[Vertex]],GroupVertices[Vertex],0)),1,1,"")</f>
        <v>22</v>
      </c>
      <c r="BB12" s="49">
        <v>0</v>
      </c>
      <c r="BC12" s="50">
        <v>0</v>
      </c>
      <c r="BD12" s="49">
        <v>1</v>
      </c>
      <c r="BE12" s="50">
        <v>3.7037037037037037</v>
      </c>
      <c r="BF12" s="49">
        <v>0</v>
      </c>
      <c r="BG12" s="50">
        <v>0</v>
      </c>
      <c r="BH12" s="49">
        <v>26</v>
      </c>
      <c r="BI12" s="50">
        <v>96.29629629629629</v>
      </c>
      <c r="BJ12" s="49">
        <v>27</v>
      </c>
      <c r="BK12" s="49" t="s">
        <v>1744</v>
      </c>
      <c r="BL12" s="49" t="s">
        <v>1744</v>
      </c>
      <c r="BM12" s="49" t="s">
        <v>702</v>
      </c>
      <c r="BN12" s="49" t="s">
        <v>702</v>
      </c>
      <c r="BO12" s="49"/>
      <c r="BP12" s="49"/>
      <c r="BQ12" s="92" t="s">
        <v>1920</v>
      </c>
      <c r="BR12" s="92" t="s">
        <v>1920</v>
      </c>
      <c r="BS12" s="92" t="s">
        <v>1965</v>
      </c>
      <c r="BT12" s="92" t="s">
        <v>1965</v>
      </c>
    </row>
    <row r="13" spans="1:72" ht="15">
      <c r="A13" s="66" t="s">
        <v>639</v>
      </c>
      <c r="B13" s="84"/>
      <c r="C13" s="84"/>
      <c r="D13" s="94">
        <v>100</v>
      </c>
      <c r="E13" s="104"/>
      <c r="F13" s="81" t="str">
        <f>HYPERLINK("https://pbs.twimg.com/profile_images/1088461045318987776/VNIWuVod_normal.jpg")</f>
        <v>https://pbs.twimg.com/profile_images/1088461045318987776/VNIWuVod_normal.jpg</v>
      </c>
      <c r="G13" s="105"/>
      <c r="H13" s="82" t="s">
        <v>639</v>
      </c>
      <c r="I13" s="97"/>
      <c r="J13" s="106"/>
      <c r="K13" s="82" t="s">
        <v>1359</v>
      </c>
      <c r="L13" s="107">
        <v>1</v>
      </c>
      <c r="M13" s="101">
        <v>9328.1630859375</v>
      </c>
      <c r="N13" s="101">
        <v>4489.46142578125</v>
      </c>
      <c r="O13" s="102"/>
      <c r="P13" s="103"/>
      <c r="Q13" s="103"/>
      <c r="R13" s="108"/>
      <c r="S13" s="49">
        <v>1</v>
      </c>
      <c r="T13" s="49">
        <v>0</v>
      </c>
      <c r="U13" s="50">
        <v>0</v>
      </c>
      <c r="V13" s="50">
        <v>0.008547</v>
      </c>
      <c r="W13" s="50">
        <v>0</v>
      </c>
      <c r="X13" s="50">
        <v>0.008475</v>
      </c>
      <c r="Y13" s="50">
        <v>0</v>
      </c>
      <c r="Z13" s="50">
        <v>0</v>
      </c>
      <c r="AA13" s="98">
        <v>13</v>
      </c>
      <c r="AB13" s="98"/>
      <c r="AC13" s="99"/>
      <c r="AD13" s="68" t="s">
        <v>973</v>
      </c>
      <c r="AE13" s="73" t="s">
        <v>1084</v>
      </c>
      <c r="AF13" s="68">
        <v>1126</v>
      </c>
      <c r="AG13" s="68">
        <v>285561</v>
      </c>
      <c r="AH13" s="68">
        <v>17633</v>
      </c>
      <c r="AI13" s="68">
        <v>13297</v>
      </c>
      <c r="AJ13" s="68"/>
      <c r="AK13" s="68" t="s">
        <v>1190</v>
      </c>
      <c r="AL13" s="68" t="s">
        <v>1297</v>
      </c>
      <c r="AM13" s="72" t="str">
        <f>HYPERLINK("https://t.co/UU3wacgNww")</f>
        <v>https://t.co/UU3wacgNww</v>
      </c>
      <c r="AN13" s="68"/>
      <c r="AO13" s="70">
        <v>39899.78282407407</v>
      </c>
      <c r="AP13" s="72" t="str">
        <f>HYPERLINK("https://pbs.twimg.com/profile_banners/27067896/1613005192")</f>
        <v>https://pbs.twimg.com/profile_banners/27067896/1613005192</v>
      </c>
      <c r="AQ13" s="68" t="b">
        <v>0</v>
      </c>
      <c r="AR13" s="68" t="b">
        <v>0</v>
      </c>
      <c r="AS13" s="68" t="b">
        <v>1</v>
      </c>
      <c r="AT13" s="68"/>
      <c r="AU13" s="68">
        <v>3010</v>
      </c>
      <c r="AV13" s="72" t="str">
        <f>HYPERLINK("https://abs.twimg.com/images/themes/theme1/bg.png")</f>
        <v>https://abs.twimg.com/images/themes/theme1/bg.png</v>
      </c>
      <c r="AW13" s="68" t="b">
        <v>1</v>
      </c>
      <c r="AX13" s="68" t="s">
        <v>331</v>
      </c>
      <c r="AY13" s="72" t="str">
        <f>HYPERLINK("https://twitter.com/iata")</f>
        <v>https://twitter.com/iata</v>
      </c>
      <c r="AZ13" s="68" t="s">
        <v>65</v>
      </c>
      <c r="BA13" s="67" t="str">
        <f>REPLACE(INDEX(GroupVertices[Group],MATCH(Vertices[[#This Row],[Vertex]],GroupVertices[Vertex],0)),1,1,"")</f>
        <v>22</v>
      </c>
      <c r="BB13" s="49"/>
      <c r="BC13" s="50"/>
      <c r="BD13" s="49"/>
      <c r="BE13" s="50"/>
      <c r="BF13" s="49"/>
      <c r="BG13" s="50"/>
      <c r="BH13" s="49"/>
      <c r="BI13" s="50"/>
      <c r="BJ13" s="49"/>
      <c r="BK13" s="49"/>
      <c r="BL13" s="49"/>
      <c r="BM13" s="49"/>
      <c r="BN13" s="49"/>
      <c r="BO13" s="49"/>
      <c r="BP13" s="49"/>
      <c r="BQ13" s="49"/>
      <c r="BR13" s="49"/>
      <c r="BS13" s="49"/>
      <c r="BT13" s="49"/>
    </row>
    <row r="14" spans="1:72" ht="15">
      <c r="A14" s="66" t="s">
        <v>550</v>
      </c>
      <c r="B14" s="84"/>
      <c r="C14" s="84"/>
      <c r="D14" s="94">
        <v>100</v>
      </c>
      <c r="E14" s="104"/>
      <c r="F14" s="81" t="str">
        <f>HYPERLINK("https://pbs.twimg.com/profile_images/740645735452925952/Du900SbT_normal.jpg")</f>
        <v>https://pbs.twimg.com/profile_images/740645735452925952/Du900SbT_normal.jpg</v>
      </c>
      <c r="G14" s="105"/>
      <c r="H14" s="82" t="s">
        <v>550</v>
      </c>
      <c r="I14" s="97"/>
      <c r="J14" s="106"/>
      <c r="K14" s="82" t="s">
        <v>1360</v>
      </c>
      <c r="L14" s="107">
        <v>1</v>
      </c>
      <c r="M14" s="101">
        <v>1200.4449462890625</v>
      </c>
      <c r="N14" s="101">
        <v>1804.752197265625</v>
      </c>
      <c r="O14" s="102"/>
      <c r="P14" s="103"/>
      <c r="Q14" s="103"/>
      <c r="R14" s="108"/>
      <c r="S14" s="49">
        <v>1</v>
      </c>
      <c r="T14" s="49">
        <v>1</v>
      </c>
      <c r="U14" s="50">
        <v>0</v>
      </c>
      <c r="V14" s="50">
        <v>0</v>
      </c>
      <c r="W14" s="50">
        <v>0</v>
      </c>
      <c r="X14" s="50">
        <v>0.008475</v>
      </c>
      <c r="Y14" s="50">
        <v>0</v>
      </c>
      <c r="Z14" s="50">
        <v>0</v>
      </c>
      <c r="AA14" s="98">
        <v>14</v>
      </c>
      <c r="AB14" s="98"/>
      <c r="AC14" s="99"/>
      <c r="AD14" s="68" t="s">
        <v>974</v>
      </c>
      <c r="AE14" s="73" t="s">
        <v>1085</v>
      </c>
      <c r="AF14" s="68">
        <v>52</v>
      </c>
      <c r="AG14" s="68">
        <v>27550</v>
      </c>
      <c r="AH14" s="68">
        <v>59167</v>
      </c>
      <c r="AI14" s="68">
        <v>26</v>
      </c>
      <c r="AJ14" s="68"/>
      <c r="AK14" s="68" t="s">
        <v>1191</v>
      </c>
      <c r="AL14" s="68" t="s">
        <v>326</v>
      </c>
      <c r="AM14" s="72" t="str">
        <f>HYPERLINK("http://t.co/DxHltUTODD")</f>
        <v>http://t.co/DxHltUTODD</v>
      </c>
      <c r="AN14" s="68"/>
      <c r="AO14" s="70">
        <v>39714.199328703704</v>
      </c>
      <c r="AP14" s="72" t="str">
        <f>HYPERLINK("https://pbs.twimg.com/profile_banners/16415533/1424229088")</f>
        <v>https://pbs.twimg.com/profile_banners/16415533/1424229088</v>
      </c>
      <c r="AQ14" s="68" t="b">
        <v>0</v>
      </c>
      <c r="AR14" s="68" t="b">
        <v>0</v>
      </c>
      <c r="AS14" s="68" t="b">
        <v>0</v>
      </c>
      <c r="AT14" s="68"/>
      <c r="AU14" s="68">
        <v>329</v>
      </c>
      <c r="AV14" s="72" t="str">
        <f>HYPERLINK("https://abs.twimg.com/images/themes/theme1/bg.png")</f>
        <v>https://abs.twimg.com/images/themes/theme1/bg.png</v>
      </c>
      <c r="AW14" s="68" t="b">
        <v>0</v>
      </c>
      <c r="AX14" s="68" t="s">
        <v>331</v>
      </c>
      <c r="AY14" s="72" t="str">
        <f>HYPERLINK("https://twitter.com/nzstuffpolitics")</f>
        <v>https://twitter.com/nzstuffpolitics</v>
      </c>
      <c r="AZ14" s="68" t="s">
        <v>66</v>
      </c>
      <c r="BA14" s="67" t="str">
        <f>REPLACE(INDEX(GroupVertices[Group],MATCH(Vertices[[#This Row],[Vertex]],GroupVertices[Vertex],0)),1,1,"")</f>
        <v>2</v>
      </c>
      <c r="BB14" s="49">
        <v>0</v>
      </c>
      <c r="BC14" s="50">
        <v>0</v>
      </c>
      <c r="BD14" s="49">
        <v>0</v>
      </c>
      <c r="BE14" s="50">
        <v>0</v>
      </c>
      <c r="BF14" s="49">
        <v>0</v>
      </c>
      <c r="BG14" s="50">
        <v>0</v>
      </c>
      <c r="BH14" s="49">
        <v>28</v>
      </c>
      <c r="BI14" s="50">
        <v>100</v>
      </c>
      <c r="BJ14" s="49">
        <v>28</v>
      </c>
      <c r="BK14" s="49" t="s">
        <v>1719</v>
      </c>
      <c r="BL14" s="49" t="s">
        <v>1719</v>
      </c>
      <c r="BM14" s="49" t="s">
        <v>269</v>
      </c>
      <c r="BN14" s="49" t="s">
        <v>269</v>
      </c>
      <c r="BO14" s="49"/>
      <c r="BP14" s="49"/>
      <c r="BQ14" s="92" t="s">
        <v>1921</v>
      </c>
      <c r="BR14" s="92" t="s">
        <v>1921</v>
      </c>
      <c r="BS14" s="92" t="s">
        <v>1966</v>
      </c>
      <c r="BT14" s="92" t="s">
        <v>1966</v>
      </c>
    </row>
    <row r="15" spans="1:72" ht="15">
      <c r="A15" s="66" t="s">
        <v>551</v>
      </c>
      <c r="B15" s="84"/>
      <c r="C15" s="84"/>
      <c r="D15" s="94">
        <v>100</v>
      </c>
      <c r="E15" s="104"/>
      <c r="F15" s="81" t="str">
        <f>HYPERLINK("https://pbs.twimg.com/profile_images/1287525164721217536/ityBBCEJ_normal.jpg")</f>
        <v>https://pbs.twimg.com/profile_images/1287525164721217536/ityBBCEJ_normal.jpg</v>
      </c>
      <c r="G15" s="105"/>
      <c r="H15" s="82" t="s">
        <v>551</v>
      </c>
      <c r="I15" s="97"/>
      <c r="J15" s="106"/>
      <c r="K15" s="82" t="s">
        <v>1361</v>
      </c>
      <c r="L15" s="107">
        <v>1</v>
      </c>
      <c r="M15" s="101">
        <v>2612.733154296875</v>
      </c>
      <c r="N15" s="101">
        <v>751.0459594726562</v>
      </c>
      <c r="O15" s="102"/>
      <c r="P15" s="103"/>
      <c r="Q15" s="103"/>
      <c r="R15" s="108"/>
      <c r="S15" s="49">
        <v>1</v>
      </c>
      <c r="T15" s="49">
        <v>1</v>
      </c>
      <c r="U15" s="50">
        <v>0</v>
      </c>
      <c r="V15" s="50">
        <v>0</v>
      </c>
      <c r="W15" s="50">
        <v>0</v>
      </c>
      <c r="X15" s="50">
        <v>0.008475</v>
      </c>
      <c r="Y15" s="50">
        <v>0</v>
      </c>
      <c r="Z15" s="50">
        <v>0</v>
      </c>
      <c r="AA15" s="98">
        <v>15</v>
      </c>
      <c r="AB15" s="98"/>
      <c r="AC15" s="99"/>
      <c r="AD15" s="68" t="s">
        <v>975</v>
      </c>
      <c r="AE15" s="73" t="s">
        <v>935</v>
      </c>
      <c r="AF15" s="68">
        <v>2210</v>
      </c>
      <c r="AG15" s="68">
        <v>450</v>
      </c>
      <c r="AH15" s="68">
        <v>7595</v>
      </c>
      <c r="AI15" s="68">
        <v>10811</v>
      </c>
      <c r="AJ15" s="68"/>
      <c r="AK15" s="68" t="s">
        <v>1192</v>
      </c>
      <c r="AL15" s="68" t="s">
        <v>1298</v>
      </c>
      <c r="AM15" s="72" t="str">
        <f>HYPERLINK("https://t.co/ACssSh5gHG")</f>
        <v>https://t.co/ACssSh5gHG</v>
      </c>
      <c r="AN15" s="68"/>
      <c r="AO15" s="70">
        <v>43944.756527777776</v>
      </c>
      <c r="AP15" s="72" t="str">
        <f>HYPERLINK("https://pbs.twimg.com/profile_banners/1253385421712535552/1604100504")</f>
        <v>https://pbs.twimg.com/profile_banners/1253385421712535552/1604100504</v>
      </c>
      <c r="AQ15" s="68" t="b">
        <v>1</v>
      </c>
      <c r="AR15" s="68" t="b">
        <v>0</v>
      </c>
      <c r="AS15" s="68" t="b">
        <v>0</v>
      </c>
      <c r="AT15" s="68"/>
      <c r="AU15" s="68">
        <v>3</v>
      </c>
      <c r="AV15" s="68"/>
      <c r="AW15" s="68" t="b">
        <v>0</v>
      </c>
      <c r="AX15" s="68" t="s">
        <v>331</v>
      </c>
      <c r="AY15" s="72" t="str">
        <f>HYPERLINK("https://twitter.com/falconseaknight")</f>
        <v>https://twitter.com/falconseaknight</v>
      </c>
      <c r="AZ15" s="68" t="s">
        <v>66</v>
      </c>
      <c r="BA15" s="67" t="str">
        <f>REPLACE(INDEX(GroupVertices[Group],MATCH(Vertices[[#This Row],[Vertex]],GroupVertices[Vertex],0)),1,1,"")</f>
        <v>2</v>
      </c>
      <c r="BB15" s="49">
        <v>0</v>
      </c>
      <c r="BC15" s="50">
        <v>0</v>
      </c>
      <c r="BD15" s="49">
        <v>2</v>
      </c>
      <c r="BE15" s="50">
        <v>4.545454545454546</v>
      </c>
      <c r="BF15" s="49">
        <v>0</v>
      </c>
      <c r="BG15" s="50">
        <v>0</v>
      </c>
      <c r="BH15" s="49">
        <v>42</v>
      </c>
      <c r="BI15" s="50">
        <v>95.45454545454545</v>
      </c>
      <c r="BJ15" s="49">
        <v>44</v>
      </c>
      <c r="BK15" s="49"/>
      <c r="BL15" s="49"/>
      <c r="BM15" s="49"/>
      <c r="BN15" s="49"/>
      <c r="BO15" s="49"/>
      <c r="BP15" s="49"/>
      <c r="BQ15" s="92" t="s">
        <v>1922</v>
      </c>
      <c r="BR15" s="92" t="s">
        <v>1922</v>
      </c>
      <c r="BS15" s="92" t="s">
        <v>1967</v>
      </c>
      <c r="BT15" s="92" t="s">
        <v>1967</v>
      </c>
    </row>
    <row r="16" spans="1:72" ht="15">
      <c r="A16" s="66" t="s">
        <v>552</v>
      </c>
      <c r="B16" s="84"/>
      <c r="C16" s="84"/>
      <c r="D16" s="94">
        <v>100</v>
      </c>
      <c r="E16" s="104"/>
      <c r="F16" s="81" t="str">
        <f>HYPERLINK("https://pbs.twimg.com/profile_images/1504246745278332928/DiTVLZuV_normal.jpg")</f>
        <v>https://pbs.twimg.com/profile_images/1504246745278332928/DiTVLZuV_normal.jpg</v>
      </c>
      <c r="G16" s="105"/>
      <c r="H16" s="82" t="s">
        <v>552</v>
      </c>
      <c r="I16" s="97"/>
      <c r="J16" s="106"/>
      <c r="K16" s="82" t="s">
        <v>1362</v>
      </c>
      <c r="L16" s="107">
        <v>1</v>
      </c>
      <c r="M16" s="101">
        <v>3318.877197265625</v>
      </c>
      <c r="N16" s="101">
        <v>751.0459594726562</v>
      </c>
      <c r="O16" s="102"/>
      <c r="P16" s="103"/>
      <c r="Q16" s="103"/>
      <c r="R16" s="108"/>
      <c r="S16" s="49">
        <v>1</v>
      </c>
      <c r="T16" s="49">
        <v>1</v>
      </c>
      <c r="U16" s="50">
        <v>0</v>
      </c>
      <c r="V16" s="50">
        <v>0</v>
      </c>
      <c r="W16" s="50">
        <v>0</v>
      </c>
      <c r="X16" s="50">
        <v>0.008475</v>
      </c>
      <c r="Y16" s="50">
        <v>0</v>
      </c>
      <c r="Z16" s="50">
        <v>0</v>
      </c>
      <c r="AA16" s="98">
        <v>16</v>
      </c>
      <c r="AB16" s="98"/>
      <c r="AC16" s="99"/>
      <c r="AD16" s="68" t="s">
        <v>976</v>
      </c>
      <c r="AE16" s="73" t="s">
        <v>936</v>
      </c>
      <c r="AF16" s="68">
        <v>1293</v>
      </c>
      <c r="AG16" s="68">
        <v>1905</v>
      </c>
      <c r="AH16" s="68">
        <v>2099</v>
      </c>
      <c r="AI16" s="68">
        <v>712</v>
      </c>
      <c r="AJ16" s="68"/>
      <c r="AK16" s="68" t="s">
        <v>1193</v>
      </c>
      <c r="AL16" s="68"/>
      <c r="AM16" s="72" t="str">
        <f>HYPERLINK("https://t.co/5tpDHuaMDv")</f>
        <v>https://t.co/5tpDHuaMDv</v>
      </c>
      <c r="AN16" s="68"/>
      <c r="AO16" s="70">
        <v>41412.04372685185</v>
      </c>
      <c r="AP16" s="72" t="str">
        <f>HYPERLINK("https://pbs.twimg.com/profile_banners/1437080810/1647475345")</f>
        <v>https://pbs.twimg.com/profile_banners/1437080810/1647475345</v>
      </c>
      <c r="AQ16" s="68" t="b">
        <v>0</v>
      </c>
      <c r="AR16" s="68" t="b">
        <v>0</v>
      </c>
      <c r="AS16" s="68" t="b">
        <v>1</v>
      </c>
      <c r="AT16" s="68"/>
      <c r="AU16" s="68">
        <v>44</v>
      </c>
      <c r="AV16" s="72" t="str">
        <f>HYPERLINK("https://abs.twimg.com/images/themes/theme1/bg.png")</f>
        <v>https://abs.twimg.com/images/themes/theme1/bg.png</v>
      </c>
      <c r="AW16" s="68" t="b">
        <v>0</v>
      </c>
      <c r="AX16" s="68" t="s">
        <v>331</v>
      </c>
      <c r="AY16" s="72" t="str">
        <f>HYPERLINK("https://twitter.com/annacwhyte")</f>
        <v>https://twitter.com/annacwhyte</v>
      </c>
      <c r="AZ16" s="68" t="s">
        <v>66</v>
      </c>
      <c r="BA16" s="67" t="str">
        <f>REPLACE(INDEX(GroupVertices[Group],MATCH(Vertices[[#This Row],[Vertex]],GroupVertices[Vertex],0)),1,1,"")</f>
        <v>2</v>
      </c>
      <c r="BB16" s="49">
        <v>0</v>
      </c>
      <c r="BC16" s="50">
        <v>0</v>
      </c>
      <c r="BD16" s="49">
        <v>0</v>
      </c>
      <c r="BE16" s="50">
        <v>0</v>
      </c>
      <c r="BF16" s="49">
        <v>0</v>
      </c>
      <c r="BG16" s="50">
        <v>0</v>
      </c>
      <c r="BH16" s="49">
        <v>21</v>
      </c>
      <c r="BI16" s="50">
        <v>100</v>
      </c>
      <c r="BJ16" s="49">
        <v>21</v>
      </c>
      <c r="BK16" s="49"/>
      <c r="BL16" s="49"/>
      <c r="BM16" s="49"/>
      <c r="BN16" s="49"/>
      <c r="BO16" s="49"/>
      <c r="BP16" s="49"/>
      <c r="BQ16" s="92" t="s">
        <v>1923</v>
      </c>
      <c r="BR16" s="92" t="s">
        <v>1923</v>
      </c>
      <c r="BS16" s="92" t="s">
        <v>1968</v>
      </c>
      <c r="BT16" s="92" t="s">
        <v>1968</v>
      </c>
    </row>
    <row r="17" spans="1:72" ht="15">
      <c r="A17" s="66" t="s">
        <v>553</v>
      </c>
      <c r="B17" s="84"/>
      <c r="C17" s="84"/>
      <c r="D17" s="94">
        <v>100</v>
      </c>
      <c r="E17" s="104"/>
      <c r="F17" s="81" t="str">
        <f>HYPERLINK("https://pbs.twimg.com/profile_images/1479682990871511041/ZLjodGMW_normal.jpg")</f>
        <v>https://pbs.twimg.com/profile_images/1479682990871511041/ZLjodGMW_normal.jpg</v>
      </c>
      <c r="G17" s="105"/>
      <c r="H17" s="82" t="s">
        <v>553</v>
      </c>
      <c r="I17" s="97"/>
      <c r="J17" s="106"/>
      <c r="K17" s="82" t="s">
        <v>1363</v>
      </c>
      <c r="L17" s="107">
        <v>1</v>
      </c>
      <c r="M17" s="101">
        <v>1906.5889892578125</v>
      </c>
      <c r="N17" s="101">
        <v>751.0459594726562</v>
      </c>
      <c r="O17" s="102"/>
      <c r="P17" s="103"/>
      <c r="Q17" s="103"/>
      <c r="R17" s="108"/>
      <c r="S17" s="49">
        <v>1</v>
      </c>
      <c r="T17" s="49">
        <v>1</v>
      </c>
      <c r="U17" s="50">
        <v>0</v>
      </c>
      <c r="V17" s="50">
        <v>0</v>
      </c>
      <c r="W17" s="50">
        <v>0</v>
      </c>
      <c r="X17" s="50">
        <v>0.008475</v>
      </c>
      <c r="Y17" s="50">
        <v>0</v>
      </c>
      <c r="Z17" s="50">
        <v>0</v>
      </c>
      <c r="AA17" s="98">
        <v>17</v>
      </c>
      <c r="AB17" s="98"/>
      <c r="AC17" s="99"/>
      <c r="AD17" s="68" t="s">
        <v>977</v>
      </c>
      <c r="AE17" s="73" t="s">
        <v>1086</v>
      </c>
      <c r="AF17" s="68">
        <v>3772</v>
      </c>
      <c r="AG17" s="68">
        <v>2529</v>
      </c>
      <c r="AH17" s="68">
        <v>10624</v>
      </c>
      <c r="AI17" s="68">
        <v>12456</v>
      </c>
      <c r="AJ17" s="68"/>
      <c r="AK17" s="68" t="s">
        <v>1194</v>
      </c>
      <c r="AL17" s="68"/>
      <c r="AM17" s="68"/>
      <c r="AN17" s="68"/>
      <c r="AO17" s="70">
        <v>40498.98012731481</v>
      </c>
      <c r="AP17" s="72" t="str">
        <f>HYPERLINK("https://pbs.twimg.com/profile_banners/216523486/1641853819")</f>
        <v>https://pbs.twimg.com/profile_banners/216523486/1641853819</v>
      </c>
      <c r="AQ17" s="68" t="b">
        <v>1</v>
      </c>
      <c r="AR17" s="68" t="b">
        <v>0</v>
      </c>
      <c r="AS17" s="68" t="b">
        <v>0</v>
      </c>
      <c r="AT17" s="68"/>
      <c r="AU17" s="68">
        <v>32</v>
      </c>
      <c r="AV17" s="72" t="str">
        <f>HYPERLINK("https://abs.twimg.com/images/themes/theme1/bg.png")</f>
        <v>https://abs.twimg.com/images/themes/theme1/bg.png</v>
      </c>
      <c r="AW17" s="68" t="b">
        <v>0</v>
      </c>
      <c r="AX17" s="68" t="s">
        <v>331</v>
      </c>
      <c r="AY17" s="72" t="str">
        <f>HYPERLINK("https://twitter.com/ddub_news")</f>
        <v>https://twitter.com/ddub_news</v>
      </c>
      <c r="AZ17" s="68" t="s">
        <v>66</v>
      </c>
      <c r="BA17" s="67" t="str">
        <f>REPLACE(INDEX(GroupVertices[Group],MATCH(Vertices[[#This Row],[Vertex]],GroupVertices[Vertex],0)),1,1,"")</f>
        <v>2</v>
      </c>
      <c r="BB17" s="49">
        <v>1</v>
      </c>
      <c r="BC17" s="50">
        <v>2.4390243902439024</v>
      </c>
      <c r="BD17" s="49">
        <v>1</v>
      </c>
      <c r="BE17" s="50">
        <v>2.4390243902439024</v>
      </c>
      <c r="BF17" s="49">
        <v>0</v>
      </c>
      <c r="BG17" s="50">
        <v>0</v>
      </c>
      <c r="BH17" s="49">
        <v>39</v>
      </c>
      <c r="BI17" s="50">
        <v>95.1219512195122</v>
      </c>
      <c r="BJ17" s="49">
        <v>41</v>
      </c>
      <c r="BK17" s="49" t="s">
        <v>1720</v>
      </c>
      <c r="BL17" s="49" t="s">
        <v>1720</v>
      </c>
      <c r="BM17" s="49" t="s">
        <v>269</v>
      </c>
      <c r="BN17" s="49" t="s">
        <v>269</v>
      </c>
      <c r="BO17" s="49"/>
      <c r="BP17" s="49"/>
      <c r="BQ17" s="92" t="s">
        <v>1924</v>
      </c>
      <c r="BR17" s="92" t="s">
        <v>1924</v>
      </c>
      <c r="BS17" s="92" t="s">
        <v>1969</v>
      </c>
      <c r="BT17" s="92" t="s">
        <v>1969</v>
      </c>
    </row>
    <row r="18" spans="1:72" ht="15">
      <c r="A18" s="66" t="s">
        <v>554</v>
      </c>
      <c r="B18" s="84"/>
      <c r="C18" s="84"/>
      <c r="D18" s="94">
        <v>130.000015</v>
      </c>
      <c r="E18" s="104"/>
      <c r="F18" s="81" t="str">
        <f>HYPERLINK("https://pbs.twimg.com/profile_images/1102047278024482817/dJQQCnwB_normal.jpg")</f>
        <v>https://pbs.twimg.com/profile_images/1102047278024482817/dJQQCnwB_normal.jpg</v>
      </c>
      <c r="G18" s="105"/>
      <c r="H18" s="82" t="s">
        <v>554</v>
      </c>
      <c r="I18" s="97"/>
      <c r="J18" s="106"/>
      <c r="K18" s="82" t="s">
        <v>1364</v>
      </c>
      <c r="L18" s="107">
        <v>14.172602106719367</v>
      </c>
      <c r="M18" s="101">
        <v>7132.05517578125</v>
      </c>
      <c r="N18" s="101">
        <v>8334.8173828125</v>
      </c>
      <c r="O18" s="102"/>
      <c r="P18" s="103"/>
      <c r="Q18" s="103"/>
      <c r="R18" s="108"/>
      <c r="S18" s="49">
        <v>0</v>
      </c>
      <c r="T18" s="49">
        <v>3</v>
      </c>
      <c r="U18" s="50">
        <v>0.666667</v>
      </c>
      <c r="V18" s="50">
        <v>0.02735</v>
      </c>
      <c r="W18" s="50">
        <v>0</v>
      </c>
      <c r="X18" s="50">
        <v>0.008374</v>
      </c>
      <c r="Y18" s="50">
        <v>0.3333333333333333</v>
      </c>
      <c r="Z18" s="50">
        <v>0</v>
      </c>
      <c r="AA18" s="98">
        <v>18</v>
      </c>
      <c r="AB18" s="98"/>
      <c r="AC18" s="99"/>
      <c r="AD18" s="68" t="s">
        <v>978</v>
      </c>
      <c r="AE18" s="73" t="s">
        <v>1087</v>
      </c>
      <c r="AF18" s="68">
        <v>4611</v>
      </c>
      <c r="AG18" s="68">
        <v>6051</v>
      </c>
      <c r="AH18" s="68">
        <v>346130</v>
      </c>
      <c r="AI18" s="68">
        <v>326126</v>
      </c>
      <c r="AJ18" s="68"/>
      <c r="AK18" s="68" t="s">
        <v>1195</v>
      </c>
      <c r="AL18" s="68" t="s">
        <v>327</v>
      </c>
      <c r="AM18" s="68"/>
      <c r="AN18" s="68"/>
      <c r="AO18" s="70">
        <v>41999.36634259259</v>
      </c>
      <c r="AP18" s="68"/>
      <c r="AQ18" s="68" t="b">
        <v>1</v>
      </c>
      <c r="AR18" s="68" t="b">
        <v>0</v>
      </c>
      <c r="AS18" s="68" t="b">
        <v>0</v>
      </c>
      <c r="AT18" s="68"/>
      <c r="AU18" s="68">
        <v>20</v>
      </c>
      <c r="AV18" s="72" t="str">
        <f>HYPERLINK("https://abs.twimg.com/images/themes/theme1/bg.png")</f>
        <v>https://abs.twimg.com/images/themes/theme1/bg.png</v>
      </c>
      <c r="AW18" s="68" t="b">
        <v>0</v>
      </c>
      <c r="AX18" s="68" t="s">
        <v>331</v>
      </c>
      <c r="AY18" s="72" t="str">
        <f>HYPERLINK("https://twitter.com/peggymel2001")</f>
        <v>https://twitter.com/peggymel2001</v>
      </c>
      <c r="AZ18" s="68" t="s">
        <v>66</v>
      </c>
      <c r="BA18" s="67" t="str">
        <f>REPLACE(INDEX(GroupVertices[Group],MATCH(Vertices[[#This Row],[Vertex]],GroupVertices[Vertex],0)),1,1,"")</f>
        <v>7</v>
      </c>
      <c r="BB18" s="49">
        <v>1</v>
      </c>
      <c r="BC18" s="50">
        <v>3.5714285714285716</v>
      </c>
      <c r="BD18" s="49">
        <v>0</v>
      </c>
      <c r="BE18" s="50">
        <v>0</v>
      </c>
      <c r="BF18" s="49">
        <v>0</v>
      </c>
      <c r="BG18" s="50">
        <v>0</v>
      </c>
      <c r="BH18" s="49">
        <v>27</v>
      </c>
      <c r="BI18" s="50">
        <v>96.42857142857143</v>
      </c>
      <c r="BJ18" s="49">
        <v>28</v>
      </c>
      <c r="BK18" s="49"/>
      <c r="BL18" s="49"/>
      <c r="BM18" s="49"/>
      <c r="BN18" s="49"/>
      <c r="BO18" s="49" t="s">
        <v>711</v>
      </c>
      <c r="BP18" s="49" t="s">
        <v>711</v>
      </c>
      <c r="BQ18" s="92" t="s">
        <v>1925</v>
      </c>
      <c r="BR18" s="92" t="s">
        <v>1925</v>
      </c>
      <c r="BS18" s="92" t="s">
        <v>1865</v>
      </c>
      <c r="BT18" s="92" t="s">
        <v>1865</v>
      </c>
    </row>
    <row r="19" spans="1:72" ht="15">
      <c r="A19" s="66" t="s">
        <v>640</v>
      </c>
      <c r="B19" s="84"/>
      <c r="C19" s="84"/>
      <c r="D19" s="94">
        <v>130.000015</v>
      </c>
      <c r="E19" s="104"/>
      <c r="F19" s="81" t="str">
        <f>HYPERLINK("https://pbs.twimg.com/profile_images/1363660524085338112/f7qzYUcQ_normal.jpg")</f>
        <v>https://pbs.twimg.com/profile_images/1363660524085338112/f7qzYUcQ_normal.jpg</v>
      </c>
      <c r="G19" s="105"/>
      <c r="H19" s="82" t="s">
        <v>640</v>
      </c>
      <c r="I19" s="97"/>
      <c r="J19" s="106"/>
      <c r="K19" s="82" t="s">
        <v>1365</v>
      </c>
      <c r="L19" s="107">
        <v>14.172602106719367</v>
      </c>
      <c r="M19" s="101">
        <v>7493.21533203125</v>
      </c>
      <c r="N19" s="101">
        <v>7151.7509765625</v>
      </c>
      <c r="O19" s="102"/>
      <c r="P19" s="103"/>
      <c r="Q19" s="103"/>
      <c r="R19" s="108"/>
      <c r="S19" s="49">
        <v>3</v>
      </c>
      <c r="T19" s="49">
        <v>0</v>
      </c>
      <c r="U19" s="50">
        <v>0.666667</v>
      </c>
      <c r="V19" s="50">
        <v>0.02735</v>
      </c>
      <c r="W19" s="50">
        <v>0</v>
      </c>
      <c r="X19" s="50">
        <v>0.008374</v>
      </c>
      <c r="Y19" s="50">
        <v>0.3333333333333333</v>
      </c>
      <c r="Z19" s="50">
        <v>0</v>
      </c>
      <c r="AA19" s="98">
        <v>19</v>
      </c>
      <c r="AB19" s="98"/>
      <c r="AC19" s="99"/>
      <c r="AD19" s="68" t="s">
        <v>979</v>
      </c>
      <c r="AE19" s="73" t="s">
        <v>1088</v>
      </c>
      <c r="AF19" s="68">
        <v>576</v>
      </c>
      <c r="AG19" s="68">
        <v>118766</v>
      </c>
      <c r="AH19" s="68">
        <v>8418</v>
      </c>
      <c r="AI19" s="68">
        <v>217</v>
      </c>
      <c r="AJ19" s="68"/>
      <c r="AK19" s="68" t="s">
        <v>1196</v>
      </c>
      <c r="AL19" s="68" t="s">
        <v>1299</v>
      </c>
      <c r="AM19" s="72" t="str">
        <f>HYPERLINK("https://t.co/QAM8l2u2JL")</f>
        <v>https://t.co/QAM8l2u2JL</v>
      </c>
      <c r="AN19" s="68"/>
      <c r="AO19" s="70">
        <v>40033.406909722224</v>
      </c>
      <c r="AP19" s="72" t="str">
        <f>HYPERLINK("https://pbs.twimg.com/profile_banners/63942152/1554960079")</f>
        <v>https://pbs.twimg.com/profile_banners/63942152/1554960079</v>
      </c>
      <c r="AQ19" s="68" t="b">
        <v>0</v>
      </c>
      <c r="AR19" s="68" t="b">
        <v>0</v>
      </c>
      <c r="AS19" s="68" t="b">
        <v>1</v>
      </c>
      <c r="AT19" s="68"/>
      <c r="AU19" s="68">
        <v>791</v>
      </c>
      <c r="AV19" s="72" t="str">
        <f>HYPERLINK("https://abs.twimg.com/images/themes/theme1/bg.png")</f>
        <v>https://abs.twimg.com/images/themes/theme1/bg.png</v>
      </c>
      <c r="AW19" s="68" t="b">
        <v>1</v>
      </c>
      <c r="AX19" s="68" t="s">
        <v>331</v>
      </c>
      <c r="AY19" s="72" t="str">
        <f>HYPERLINK("https://twitter.com/joshfrydenberg")</f>
        <v>https://twitter.com/joshfrydenberg</v>
      </c>
      <c r="AZ19" s="68" t="s">
        <v>65</v>
      </c>
      <c r="BA19" s="67"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row>
    <row r="20" spans="1:72" ht="15">
      <c r="A20" s="66" t="s">
        <v>641</v>
      </c>
      <c r="B20" s="84"/>
      <c r="C20" s="84"/>
      <c r="D20" s="94">
        <v>130.000015</v>
      </c>
      <c r="E20" s="104"/>
      <c r="F20" s="81" t="str">
        <f>HYPERLINK("https://pbs.twimg.com/profile_images/1240473843266772993/x1N6BurH_normal.jpg")</f>
        <v>https://pbs.twimg.com/profile_images/1240473843266772993/x1N6BurH_normal.jpg</v>
      </c>
      <c r="G20" s="105"/>
      <c r="H20" s="82" t="s">
        <v>641</v>
      </c>
      <c r="I20" s="97"/>
      <c r="J20" s="106"/>
      <c r="K20" s="82" t="s">
        <v>1366</v>
      </c>
      <c r="L20" s="107">
        <v>14.172602106719367</v>
      </c>
      <c r="M20" s="101">
        <v>8417.2373046875</v>
      </c>
      <c r="N20" s="101">
        <v>9713.1083984375</v>
      </c>
      <c r="O20" s="102"/>
      <c r="P20" s="103"/>
      <c r="Q20" s="103"/>
      <c r="R20" s="108"/>
      <c r="S20" s="49">
        <v>3</v>
      </c>
      <c r="T20" s="49">
        <v>0</v>
      </c>
      <c r="U20" s="50">
        <v>0.666667</v>
      </c>
      <c r="V20" s="50">
        <v>0.02735</v>
      </c>
      <c r="W20" s="50">
        <v>0</v>
      </c>
      <c r="X20" s="50">
        <v>0.008374</v>
      </c>
      <c r="Y20" s="50">
        <v>0.3333333333333333</v>
      </c>
      <c r="Z20" s="50">
        <v>0</v>
      </c>
      <c r="AA20" s="98">
        <v>20</v>
      </c>
      <c r="AB20" s="98"/>
      <c r="AC20" s="99"/>
      <c r="AD20" s="68" t="s">
        <v>980</v>
      </c>
      <c r="AE20" s="73" t="s">
        <v>1089</v>
      </c>
      <c r="AF20" s="68">
        <v>660</v>
      </c>
      <c r="AG20" s="68">
        <v>161230</v>
      </c>
      <c r="AH20" s="68">
        <v>11729</v>
      </c>
      <c r="AI20" s="68">
        <v>709</v>
      </c>
      <c r="AJ20" s="68"/>
      <c r="AK20" s="68" t="s">
        <v>1197</v>
      </c>
      <c r="AL20" s="68" t="s">
        <v>1300</v>
      </c>
      <c r="AM20" s="72" t="str">
        <f>HYPERLINK("https://t.co/UxeAG1JGvE")</f>
        <v>https://t.co/UxeAG1JGvE</v>
      </c>
      <c r="AN20" s="68"/>
      <c r="AO20" s="70">
        <v>39974.99122685185</v>
      </c>
      <c r="AP20" s="68"/>
      <c r="AQ20" s="68" t="b">
        <v>1</v>
      </c>
      <c r="AR20" s="68" t="b">
        <v>0</v>
      </c>
      <c r="AS20" s="68" t="b">
        <v>0</v>
      </c>
      <c r="AT20" s="68"/>
      <c r="AU20" s="68">
        <v>1430</v>
      </c>
      <c r="AV20" s="72" t="str">
        <f>HYPERLINK("https://abs.twimg.com/images/themes/theme1/bg.png")</f>
        <v>https://abs.twimg.com/images/themes/theme1/bg.png</v>
      </c>
      <c r="AW20" s="68" t="b">
        <v>1</v>
      </c>
      <c r="AX20" s="68" t="s">
        <v>331</v>
      </c>
      <c r="AY20" s="72" t="str">
        <f>HYPERLINK("https://twitter.com/david_speers")</f>
        <v>https://twitter.com/david_speers</v>
      </c>
      <c r="AZ20" s="68" t="s">
        <v>65</v>
      </c>
      <c r="BA20" s="67"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row>
    <row r="21" spans="1:72" ht="15">
      <c r="A21" s="66" t="s">
        <v>555</v>
      </c>
      <c r="B21" s="84"/>
      <c r="C21" s="84"/>
      <c r="D21" s="94">
        <v>159.999985</v>
      </c>
      <c r="E21" s="104"/>
      <c r="F21" s="81" t="str">
        <f>HYPERLINK("https://pbs.twimg.com/profile_images/1034589406005317632/Cdi3F2ro_normal.jpg")</f>
        <v>https://pbs.twimg.com/profile_images/1034589406005317632/Cdi3F2ro_normal.jpg</v>
      </c>
      <c r="G21" s="105"/>
      <c r="H21" s="82" t="s">
        <v>555</v>
      </c>
      <c r="I21" s="97"/>
      <c r="J21" s="106"/>
      <c r="K21" s="82" t="s">
        <v>1367</v>
      </c>
      <c r="L21" s="107">
        <v>27.345184454545457</v>
      </c>
      <c r="M21" s="101">
        <v>8246.87890625</v>
      </c>
      <c r="N21" s="101">
        <v>8174.2060546875</v>
      </c>
      <c r="O21" s="102"/>
      <c r="P21" s="103"/>
      <c r="Q21" s="103"/>
      <c r="R21" s="108"/>
      <c r="S21" s="49">
        <v>2</v>
      </c>
      <c r="T21" s="49">
        <v>2</v>
      </c>
      <c r="U21" s="50">
        <v>1.333333</v>
      </c>
      <c r="V21" s="50">
        <v>0.034188</v>
      </c>
      <c r="W21" s="50">
        <v>0</v>
      </c>
      <c r="X21" s="50">
        <v>0.008878</v>
      </c>
      <c r="Y21" s="50">
        <v>0.3333333333333333</v>
      </c>
      <c r="Z21" s="50">
        <v>0</v>
      </c>
      <c r="AA21" s="98">
        <v>21</v>
      </c>
      <c r="AB21" s="98"/>
      <c r="AC21" s="99"/>
      <c r="AD21" s="68" t="s">
        <v>981</v>
      </c>
      <c r="AE21" s="73" t="s">
        <v>1090</v>
      </c>
      <c r="AF21" s="68">
        <v>1183</v>
      </c>
      <c r="AG21" s="68">
        <v>2034894</v>
      </c>
      <c r="AH21" s="68">
        <v>353151</v>
      </c>
      <c r="AI21" s="68">
        <v>2705</v>
      </c>
      <c r="AJ21" s="68"/>
      <c r="AK21" s="68" t="s">
        <v>1198</v>
      </c>
      <c r="AL21" s="68" t="s">
        <v>327</v>
      </c>
      <c r="AM21" s="72" t="str">
        <f>HYPERLINK("https://t.co/LeSPrKTqbF")</f>
        <v>https://t.co/LeSPrKTqbF</v>
      </c>
      <c r="AN21" s="68"/>
      <c r="AO21" s="70">
        <v>39170.09416666667</v>
      </c>
      <c r="AP21" s="72" t="str">
        <f>HYPERLINK("https://pbs.twimg.com/profile_banners/2768501/1652918243")</f>
        <v>https://pbs.twimg.com/profile_banners/2768501/1652918243</v>
      </c>
      <c r="AQ21" s="68" t="b">
        <v>0</v>
      </c>
      <c r="AR21" s="68" t="b">
        <v>0</v>
      </c>
      <c r="AS21" s="68" t="b">
        <v>1</v>
      </c>
      <c r="AT21" s="68"/>
      <c r="AU21" s="68">
        <v>13316</v>
      </c>
      <c r="AV21" s="72" t="str">
        <f>HYPERLINK("https://abs.twimg.com/images/themes/theme1/bg.png")</f>
        <v>https://abs.twimg.com/images/themes/theme1/bg.png</v>
      </c>
      <c r="AW21" s="68" t="b">
        <v>1</v>
      </c>
      <c r="AX21" s="68" t="s">
        <v>331</v>
      </c>
      <c r="AY21" s="72" t="str">
        <f>HYPERLINK("https://twitter.com/abcnews")</f>
        <v>https://twitter.com/abcnews</v>
      </c>
      <c r="AZ21" s="68" t="s">
        <v>66</v>
      </c>
      <c r="BA21" s="67" t="str">
        <f>REPLACE(INDEX(GroupVertices[Group],MATCH(Vertices[[#This Row],[Vertex]],GroupVertices[Vertex],0)),1,1,"")</f>
        <v>7</v>
      </c>
      <c r="BB21" s="49">
        <v>1</v>
      </c>
      <c r="BC21" s="50">
        <v>3.5714285714285716</v>
      </c>
      <c r="BD21" s="49">
        <v>0</v>
      </c>
      <c r="BE21" s="50">
        <v>0</v>
      </c>
      <c r="BF21" s="49">
        <v>0</v>
      </c>
      <c r="BG21" s="50">
        <v>0</v>
      </c>
      <c r="BH21" s="49">
        <v>27</v>
      </c>
      <c r="BI21" s="50">
        <v>96.42857142857143</v>
      </c>
      <c r="BJ21" s="49">
        <v>28</v>
      </c>
      <c r="BK21" s="49"/>
      <c r="BL21" s="49"/>
      <c r="BM21" s="49"/>
      <c r="BN21" s="49"/>
      <c r="BO21" s="49" t="s">
        <v>711</v>
      </c>
      <c r="BP21" s="49" t="s">
        <v>711</v>
      </c>
      <c r="BQ21" s="92" t="s">
        <v>1925</v>
      </c>
      <c r="BR21" s="92" t="s">
        <v>1925</v>
      </c>
      <c r="BS21" s="92" t="s">
        <v>1865</v>
      </c>
      <c r="BT21" s="92" t="s">
        <v>1865</v>
      </c>
    </row>
    <row r="22" spans="1:72" ht="15">
      <c r="A22" s="66" t="s">
        <v>556</v>
      </c>
      <c r="B22" s="84"/>
      <c r="C22" s="84"/>
      <c r="D22" s="94">
        <v>130.000015</v>
      </c>
      <c r="E22" s="104"/>
      <c r="F22" s="81" t="str">
        <f>HYPERLINK("https://pbs.twimg.com/profile_images/685914495680548865/QTvAgZK9_normal.jpg")</f>
        <v>https://pbs.twimg.com/profile_images/685914495680548865/QTvAgZK9_normal.jpg</v>
      </c>
      <c r="G22" s="105"/>
      <c r="H22" s="82" t="s">
        <v>556</v>
      </c>
      <c r="I22" s="97"/>
      <c r="J22" s="106"/>
      <c r="K22" s="82" t="s">
        <v>1368</v>
      </c>
      <c r="L22" s="107">
        <v>14.172602106719367</v>
      </c>
      <c r="M22" s="101">
        <v>7625.2021484375</v>
      </c>
      <c r="N22" s="101">
        <v>9713.1083984375</v>
      </c>
      <c r="O22" s="102"/>
      <c r="P22" s="103"/>
      <c r="Q22" s="103"/>
      <c r="R22" s="108"/>
      <c r="S22" s="49">
        <v>0</v>
      </c>
      <c r="T22" s="49">
        <v>3</v>
      </c>
      <c r="U22" s="50">
        <v>0.666667</v>
      </c>
      <c r="V22" s="50">
        <v>0.02735</v>
      </c>
      <c r="W22" s="50">
        <v>0</v>
      </c>
      <c r="X22" s="50">
        <v>0.008374</v>
      </c>
      <c r="Y22" s="50">
        <v>0.3333333333333333</v>
      </c>
      <c r="Z22" s="50">
        <v>0</v>
      </c>
      <c r="AA22" s="98">
        <v>22</v>
      </c>
      <c r="AB22" s="98"/>
      <c r="AC22" s="99"/>
      <c r="AD22" s="68" t="s">
        <v>982</v>
      </c>
      <c r="AE22" s="73" t="s">
        <v>1091</v>
      </c>
      <c r="AF22" s="68">
        <v>1705</v>
      </c>
      <c r="AG22" s="68">
        <v>301</v>
      </c>
      <c r="AH22" s="68">
        <v>20785</v>
      </c>
      <c r="AI22" s="68">
        <v>1502</v>
      </c>
      <c r="AJ22" s="68"/>
      <c r="AK22" s="68" t="s">
        <v>1199</v>
      </c>
      <c r="AL22" s="68" t="s">
        <v>1301</v>
      </c>
      <c r="AM22" s="72" t="str">
        <f>HYPERLINK("https://t.co/fQCKQ4EjZ5")</f>
        <v>https://t.co/fQCKQ4EjZ5</v>
      </c>
      <c r="AN22" s="68"/>
      <c r="AO22" s="70">
        <v>40015.6946875</v>
      </c>
      <c r="AP22" s="72" t="str">
        <f>HYPERLINK("https://pbs.twimg.com/profile_banners/58844857/1452369786")</f>
        <v>https://pbs.twimg.com/profile_banners/58844857/1452369786</v>
      </c>
      <c r="AQ22" s="68" t="b">
        <v>0</v>
      </c>
      <c r="AR22" s="68" t="b">
        <v>0</v>
      </c>
      <c r="AS22" s="68" t="b">
        <v>1</v>
      </c>
      <c r="AT22" s="68"/>
      <c r="AU22" s="68">
        <v>3</v>
      </c>
      <c r="AV22" s="72" t="str">
        <f>HYPERLINK("https://abs.twimg.com/images/themes/theme1/bg.png")</f>
        <v>https://abs.twimg.com/images/themes/theme1/bg.png</v>
      </c>
      <c r="AW22" s="68" t="b">
        <v>0</v>
      </c>
      <c r="AX22" s="68" t="s">
        <v>331</v>
      </c>
      <c r="AY22" s="72" t="str">
        <f>HYPERLINK("https://twitter.com/zazava")</f>
        <v>https://twitter.com/zazava</v>
      </c>
      <c r="AZ22" s="68" t="s">
        <v>66</v>
      </c>
      <c r="BA22" s="67" t="str">
        <f>REPLACE(INDEX(GroupVertices[Group],MATCH(Vertices[[#This Row],[Vertex]],GroupVertices[Vertex],0)),1,1,"")</f>
        <v>7</v>
      </c>
      <c r="BB22" s="49">
        <v>1</v>
      </c>
      <c r="BC22" s="50">
        <v>3.5714285714285716</v>
      </c>
      <c r="BD22" s="49">
        <v>0</v>
      </c>
      <c r="BE22" s="50">
        <v>0</v>
      </c>
      <c r="BF22" s="49">
        <v>0</v>
      </c>
      <c r="BG22" s="50">
        <v>0</v>
      </c>
      <c r="BH22" s="49">
        <v>27</v>
      </c>
      <c r="BI22" s="50">
        <v>96.42857142857143</v>
      </c>
      <c r="BJ22" s="49">
        <v>28</v>
      </c>
      <c r="BK22" s="49"/>
      <c r="BL22" s="49"/>
      <c r="BM22" s="49"/>
      <c r="BN22" s="49"/>
      <c r="BO22" s="49" t="s">
        <v>711</v>
      </c>
      <c r="BP22" s="49" t="s">
        <v>711</v>
      </c>
      <c r="BQ22" s="92" t="s">
        <v>1925</v>
      </c>
      <c r="BR22" s="92" t="s">
        <v>1925</v>
      </c>
      <c r="BS22" s="92" t="s">
        <v>1865</v>
      </c>
      <c r="BT22" s="92" t="s">
        <v>1865</v>
      </c>
    </row>
    <row r="23" spans="1:72" ht="15">
      <c r="A23" s="66" t="s">
        <v>557</v>
      </c>
      <c r="B23" s="84"/>
      <c r="C23" s="84"/>
      <c r="D23" s="94">
        <v>100</v>
      </c>
      <c r="E23" s="104"/>
      <c r="F23" s="81" t="str">
        <f>HYPERLINK("https://pbs.twimg.com/profile_images/1518150919782899712/jXSikTdV_normal.jpg")</f>
        <v>https://pbs.twimg.com/profile_images/1518150919782899712/jXSikTdV_normal.jpg</v>
      </c>
      <c r="G23" s="105"/>
      <c r="H23" s="82" t="s">
        <v>557</v>
      </c>
      <c r="I23" s="97"/>
      <c r="J23" s="106"/>
      <c r="K23" s="82" t="s">
        <v>1369</v>
      </c>
      <c r="L23" s="107">
        <v>1</v>
      </c>
      <c r="M23" s="101">
        <v>4671.11962890625</v>
      </c>
      <c r="N23" s="101">
        <v>255.57968139648438</v>
      </c>
      <c r="O23" s="102"/>
      <c r="P23" s="103"/>
      <c r="Q23" s="103"/>
      <c r="R23" s="108"/>
      <c r="S23" s="49">
        <v>0</v>
      </c>
      <c r="T23" s="49">
        <v>1</v>
      </c>
      <c r="U23" s="50">
        <v>0</v>
      </c>
      <c r="V23" s="50">
        <v>0.023742</v>
      </c>
      <c r="W23" s="50">
        <v>0</v>
      </c>
      <c r="X23" s="50">
        <v>0.007533</v>
      </c>
      <c r="Y23" s="50">
        <v>0</v>
      </c>
      <c r="Z23" s="50">
        <v>0</v>
      </c>
      <c r="AA23" s="98">
        <v>23</v>
      </c>
      <c r="AB23" s="98"/>
      <c r="AC23" s="99"/>
      <c r="AD23" s="68" t="s">
        <v>983</v>
      </c>
      <c r="AE23" s="73" t="s">
        <v>1092</v>
      </c>
      <c r="AF23" s="68">
        <v>1947</v>
      </c>
      <c r="AG23" s="68">
        <v>821</v>
      </c>
      <c r="AH23" s="68">
        <v>25071</v>
      </c>
      <c r="AI23" s="68">
        <v>7650</v>
      </c>
      <c r="AJ23" s="68"/>
      <c r="AK23" s="68" t="s">
        <v>1200</v>
      </c>
      <c r="AL23" s="68" t="s">
        <v>1302</v>
      </c>
      <c r="AM23" s="68"/>
      <c r="AN23" s="68"/>
      <c r="AO23" s="70">
        <v>41729.524201388886</v>
      </c>
      <c r="AP23" s="72" t="str">
        <f>HYPERLINK("https://pbs.twimg.com/profile_banners/2449714469/1632331638")</f>
        <v>https://pbs.twimg.com/profile_banners/2449714469/1632331638</v>
      </c>
      <c r="AQ23" s="68" t="b">
        <v>0</v>
      </c>
      <c r="AR23" s="68" t="b">
        <v>0</v>
      </c>
      <c r="AS23" s="68" t="b">
        <v>1</v>
      </c>
      <c r="AT23" s="68"/>
      <c r="AU23" s="68">
        <v>1</v>
      </c>
      <c r="AV23" s="72" t="str">
        <f>HYPERLINK("https://abs.twimg.com/images/themes/theme1/bg.png")</f>
        <v>https://abs.twimg.com/images/themes/theme1/bg.png</v>
      </c>
      <c r="AW23" s="68" t="b">
        <v>0</v>
      </c>
      <c r="AX23" s="68" t="s">
        <v>331</v>
      </c>
      <c r="AY23" s="72" t="str">
        <f>HYPERLINK("https://twitter.com/babahererra")</f>
        <v>https://twitter.com/babahererra</v>
      </c>
      <c r="AZ23" s="68" t="s">
        <v>66</v>
      </c>
      <c r="BA23" s="67" t="str">
        <f>REPLACE(INDEX(GroupVertices[Group],MATCH(Vertices[[#This Row],[Vertex]],GroupVertices[Vertex],0)),1,1,"")</f>
        <v>5</v>
      </c>
      <c r="BB23" s="49">
        <v>0</v>
      </c>
      <c r="BC23" s="50">
        <v>0</v>
      </c>
      <c r="BD23" s="49">
        <v>0</v>
      </c>
      <c r="BE23" s="50">
        <v>0</v>
      </c>
      <c r="BF23" s="49">
        <v>0</v>
      </c>
      <c r="BG23" s="50">
        <v>0</v>
      </c>
      <c r="BH23" s="49">
        <v>45</v>
      </c>
      <c r="BI23" s="50">
        <v>100</v>
      </c>
      <c r="BJ23" s="49">
        <v>45</v>
      </c>
      <c r="BK23" s="49"/>
      <c r="BL23" s="49"/>
      <c r="BM23" s="49"/>
      <c r="BN23" s="49"/>
      <c r="BO23" s="49" t="s">
        <v>712</v>
      </c>
      <c r="BP23" s="49" t="s">
        <v>712</v>
      </c>
      <c r="BQ23" s="92" t="s">
        <v>1783</v>
      </c>
      <c r="BR23" s="92" t="s">
        <v>1783</v>
      </c>
      <c r="BS23" s="92" t="s">
        <v>1863</v>
      </c>
      <c r="BT23" s="92" t="s">
        <v>1863</v>
      </c>
    </row>
    <row r="24" spans="1:72" ht="15">
      <c r="A24" s="66" t="s">
        <v>561</v>
      </c>
      <c r="B24" s="84"/>
      <c r="C24" s="84"/>
      <c r="D24" s="94">
        <v>1000</v>
      </c>
      <c r="E24" s="104"/>
      <c r="F24" s="81" t="str">
        <f>HYPERLINK("https://pbs.twimg.com/profile_images/1482457243559907336/hRHcrV2a_normal.jpg")</f>
        <v>https://pbs.twimg.com/profile_images/1482457243559907336/hRHcrV2a_normal.jpg</v>
      </c>
      <c r="G24" s="105"/>
      <c r="H24" s="82" t="s">
        <v>561</v>
      </c>
      <c r="I24" s="97"/>
      <c r="J24" s="106"/>
      <c r="K24" s="82" t="s">
        <v>1370</v>
      </c>
      <c r="L24" s="107">
        <v>396.17786561264825</v>
      </c>
      <c r="M24" s="101">
        <v>4482.09423828125</v>
      </c>
      <c r="N24" s="101">
        <v>1692.5792236328125</v>
      </c>
      <c r="O24" s="102"/>
      <c r="P24" s="103"/>
      <c r="Q24" s="103"/>
      <c r="R24" s="108"/>
      <c r="S24" s="49">
        <v>6</v>
      </c>
      <c r="T24" s="49">
        <v>1</v>
      </c>
      <c r="U24" s="50">
        <v>20</v>
      </c>
      <c r="V24" s="50">
        <v>0.042735</v>
      </c>
      <c r="W24" s="50">
        <v>0</v>
      </c>
      <c r="X24" s="50">
        <v>0.013183</v>
      </c>
      <c r="Y24" s="50">
        <v>0</v>
      </c>
      <c r="Z24" s="50">
        <v>0</v>
      </c>
      <c r="AA24" s="98">
        <v>24</v>
      </c>
      <c r="AB24" s="98"/>
      <c r="AC24" s="99"/>
      <c r="AD24" s="68" t="s">
        <v>984</v>
      </c>
      <c r="AE24" s="73" t="s">
        <v>1093</v>
      </c>
      <c r="AF24" s="68">
        <v>2327</v>
      </c>
      <c r="AG24" s="68">
        <v>741681</v>
      </c>
      <c r="AH24" s="68">
        <v>176964</v>
      </c>
      <c r="AI24" s="68">
        <v>27902</v>
      </c>
      <c r="AJ24" s="68"/>
      <c r="AK24" s="68" t="s">
        <v>1201</v>
      </c>
      <c r="AL24" s="68" t="s">
        <v>1303</v>
      </c>
      <c r="AM24" s="72" t="str">
        <f>HYPERLINK("https://t.co/UELQeJVuED")</f>
        <v>https://t.co/UELQeJVuED</v>
      </c>
      <c r="AN24" s="68"/>
      <c r="AO24" s="70">
        <v>39882.507893518516</v>
      </c>
      <c r="AP24" s="72" t="str">
        <f>HYPERLINK("https://pbs.twimg.com/profile_banners/23584333/1459687244")</f>
        <v>https://pbs.twimg.com/profile_banners/23584333/1459687244</v>
      </c>
      <c r="AQ24" s="68" t="b">
        <v>0</v>
      </c>
      <c r="AR24" s="68" t="b">
        <v>0</v>
      </c>
      <c r="AS24" s="68" t="b">
        <v>1</v>
      </c>
      <c r="AT24" s="68"/>
      <c r="AU24" s="68">
        <v>1137</v>
      </c>
      <c r="AV24" s="72" t="str">
        <f>HYPERLINK("https://abs.twimg.com/images/themes/theme1/bg.png")</f>
        <v>https://abs.twimg.com/images/themes/theme1/bg.png</v>
      </c>
      <c r="AW24" s="68" t="b">
        <v>1</v>
      </c>
      <c r="AX24" s="68" t="s">
        <v>331</v>
      </c>
      <c r="AY24" s="72" t="str">
        <f>HYPERLINK("https://twitter.com/toluogunlesi")</f>
        <v>https://twitter.com/toluogunlesi</v>
      </c>
      <c r="AZ24" s="68" t="s">
        <v>66</v>
      </c>
      <c r="BA24" s="67" t="str">
        <f>REPLACE(INDEX(GroupVertices[Group],MATCH(Vertices[[#This Row],[Vertex]],GroupVertices[Vertex],0)),1,1,"")</f>
        <v>5</v>
      </c>
      <c r="BB24" s="49">
        <v>0</v>
      </c>
      <c r="BC24" s="50">
        <v>0</v>
      </c>
      <c r="BD24" s="49">
        <v>0</v>
      </c>
      <c r="BE24" s="50">
        <v>0</v>
      </c>
      <c r="BF24" s="49">
        <v>0</v>
      </c>
      <c r="BG24" s="50">
        <v>0</v>
      </c>
      <c r="BH24" s="49">
        <v>90</v>
      </c>
      <c r="BI24" s="50">
        <v>100</v>
      </c>
      <c r="BJ24" s="49">
        <v>90</v>
      </c>
      <c r="BK24" s="49"/>
      <c r="BL24" s="49"/>
      <c r="BM24" s="49"/>
      <c r="BN24" s="49"/>
      <c r="BO24" s="49" t="s">
        <v>712</v>
      </c>
      <c r="BP24" s="49" t="s">
        <v>712</v>
      </c>
      <c r="BQ24" s="92" t="s">
        <v>1783</v>
      </c>
      <c r="BR24" s="92" t="s">
        <v>1783</v>
      </c>
      <c r="BS24" s="92" t="s">
        <v>1863</v>
      </c>
      <c r="BT24" s="92" t="s">
        <v>1863</v>
      </c>
    </row>
    <row r="25" spans="1:72" ht="15">
      <c r="A25" s="66" t="s">
        <v>558</v>
      </c>
      <c r="B25" s="84"/>
      <c r="C25" s="84"/>
      <c r="D25" s="94">
        <v>100</v>
      </c>
      <c r="E25" s="104"/>
      <c r="F25" s="81" t="str">
        <f>HYPERLINK("https://pbs.twimg.com/profile_images/1508195568698413058/bpUXOoE4_normal.jpg")</f>
        <v>https://pbs.twimg.com/profile_images/1508195568698413058/bpUXOoE4_normal.jpg</v>
      </c>
      <c r="G25" s="105"/>
      <c r="H25" s="82" t="s">
        <v>558</v>
      </c>
      <c r="I25" s="97"/>
      <c r="J25" s="106"/>
      <c r="K25" s="82" t="s">
        <v>1371</v>
      </c>
      <c r="L25" s="107">
        <v>1</v>
      </c>
      <c r="M25" s="101">
        <v>3879.65576171875</v>
      </c>
      <c r="N25" s="101">
        <v>2667.19677734375</v>
      </c>
      <c r="O25" s="102"/>
      <c r="P25" s="103"/>
      <c r="Q25" s="103"/>
      <c r="R25" s="108"/>
      <c r="S25" s="49">
        <v>0</v>
      </c>
      <c r="T25" s="49">
        <v>1</v>
      </c>
      <c r="U25" s="50">
        <v>0</v>
      </c>
      <c r="V25" s="50">
        <v>0.023742</v>
      </c>
      <c r="W25" s="50">
        <v>0</v>
      </c>
      <c r="X25" s="50">
        <v>0.007533</v>
      </c>
      <c r="Y25" s="50">
        <v>0</v>
      </c>
      <c r="Z25" s="50">
        <v>0</v>
      </c>
      <c r="AA25" s="98">
        <v>25</v>
      </c>
      <c r="AB25" s="98"/>
      <c r="AC25" s="99"/>
      <c r="AD25" s="68" t="s">
        <v>985</v>
      </c>
      <c r="AE25" s="73" t="s">
        <v>1094</v>
      </c>
      <c r="AF25" s="68">
        <v>1111</v>
      </c>
      <c r="AG25" s="68">
        <v>546</v>
      </c>
      <c r="AH25" s="68">
        <v>32945</v>
      </c>
      <c r="AI25" s="68">
        <v>49323</v>
      </c>
      <c r="AJ25" s="68"/>
      <c r="AK25" s="68" t="s">
        <v>1202</v>
      </c>
      <c r="AL25" s="68" t="s">
        <v>1304</v>
      </c>
      <c r="AM25" s="68"/>
      <c r="AN25" s="68"/>
      <c r="AO25" s="70">
        <v>44165.59512731482</v>
      </c>
      <c r="AP25" s="72" t="str">
        <f>HYPERLINK("https://pbs.twimg.com/profile_banners/1333414663695048704/1642753102")</f>
        <v>https://pbs.twimg.com/profile_banners/1333414663695048704/1642753102</v>
      </c>
      <c r="AQ25" s="68" t="b">
        <v>1</v>
      </c>
      <c r="AR25" s="68" t="b">
        <v>0</v>
      </c>
      <c r="AS25" s="68" t="b">
        <v>1</v>
      </c>
      <c r="AT25" s="68"/>
      <c r="AU25" s="68">
        <v>2</v>
      </c>
      <c r="AV25" s="68"/>
      <c r="AW25" s="68" t="b">
        <v>0</v>
      </c>
      <c r="AX25" s="68" t="s">
        <v>331</v>
      </c>
      <c r="AY25" s="72" t="str">
        <f>HYPERLINK("https://twitter.com/imam_president")</f>
        <v>https://twitter.com/imam_president</v>
      </c>
      <c r="AZ25" s="68" t="s">
        <v>66</v>
      </c>
      <c r="BA25" s="67" t="str">
        <f>REPLACE(INDEX(GroupVertices[Group],MATCH(Vertices[[#This Row],[Vertex]],GroupVertices[Vertex],0)),1,1,"")</f>
        <v>5</v>
      </c>
      <c r="BB25" s="49">
        <v>0</v>
      </c>
      <c r="BC25" s="50">
        <v>0</v>
      </c>
      <c r="BD25" s="49">
        <v>0</v>
      </c>
      <c r="BE25" s="50">
        <v>0</v>
      </c>
      <c r="BF25" s="49">
        <v>0</v>
      </c>
      <c r="BG25" s="50">
        <v>0</v>
      </c>
      <c r="BH25" s="49">
        <v>45</v>
      </c>
      <c r="BI25" s="50">
        <v>100</v>
      </c>
      <c r="BJ25" s="49">
        <v>45</v>
      </c>
      <c r="BK25" s="49"/>
      <c r="BL25" s="49"/>
      <c r="BM25" s="49"/>
      <c r="BN25" s="49"/>
      <c r="BO25" s="49" t="s">
        <v>712</v>
      </c>
      <c r="BP25" s="49" t="s">
        <v>712</v>
      </c>
      <c r="BQ25" s="92" t="s">
        <v>1783</v>
      </c>
      <c r="BR25" s="92" t="s">
        <v>1783</v>
      </c>
      <c r="BS25" s="92" t="s">
        <v>1863</v>
      </c>
      <c r="BT25" s="92" t="s">
        <v>1863</v>
      </c>
    </row>
    <row r="26" spans="1:72" ht="15">
      <c r="A26" s="66" t="s">
        <v>559</v>
      </c>
      <c r="B26" s="84"/>
      <c r="C26" s="84"/>
      <c r="D26" s="94">
        <v>100</v>
      </c>
      <c r="E26" s="104"/>
      <c r="F26" s="81" t="str">
        <f>HYPERLINK("https://pbs.twimg.com/profile_images/1317056521793142785/iGbW_tKz_normal.jpg")</f>
        <v>https://pbs.twimg.com/profile_images/1317056521793142785/iGbW_tKz_normal.jpg</v>
      </c>
      <c r="G26" s="105"/>
      <c r="H26" s="82" t="s">
        <v>559</v>
      </c>
      <c r="I26" s="97"/>
      <c r="J26" s="106"/>
      <c r="K26" s="82" t="s">
        <v>1372</v>
      </c>
      <c r="L26" s="107">
        <v>1</v>
      </c>
      <c r="M26" s="101">
        <v>4778.68310546875</v>
      </c>
      <c r="N26" s="101">
        <v>3093.861083984375</v>
      </c>
      <c r="O26" s="102"/>
      <c r="P26" s="103"/>
      <c r="Q26" s="103"/>
      <c r="R26" s="108"/>
      <c r="S26" s="49">
        <v>0</v>
      </c>
      <c r="T26" s="49">
        <v>1</v>
      </c>
      <c r="U26" s="50">
        <v>0</v>
      </c>
      <c r="V26" s="50">
        <v>0.023742</v>
      </c>
      <c r="W26" s="50">
        <v>0</v>
      </c>
      <c r="X26" s="50">
        <v>0.007533</v>
      </c>
      <c r="Y26" s="50">
        <v>0</v>
      </c>
      <c r="Z26" s="50">
        <v>0</v>
      </c>
      <c r="AA26" s="98">
        <v>26</v>
      </c>
      <c r="AB26" s="98"/>
      <c r="AC26" s="99"/>
      <c r="AD26" s="68" t="s">
        <v>986</v>
      </c>
      <c r="AE26" s="73" t="s">
        <v>1095</v>
      </c>
      <c r="AF26" s="68">
        <v>1441</v>
      </c>
      <c r="AG26" s="68">
        <v>837</v>
      </c>
      <c r="AH26" s="68">
        <v>23576</v>
      </c>
      <c r="AI26" s="68">
        <v>46063</v>
      </c>
      <c r="AJ26" s="68"/>
      <c r="AK26" s="68" t="s">
        <v>1203</v>
      </c>
      <c r="AL26" s="68" t="s">
        <v>1305</v>
      </c>
      <c r="AM26" s="68"/>
      <c r="AN26" s="68"/>
      <c r="AO26" s="70">
        <v>41259.711701388886</v>
      </c>
      <c r="AP26" s="72" t="str">
        <f>HYPERLINK("https://pbs.twimg.com/profile_banners/1015636580/1459640324")</f>
        <v>https://pbs.twimg.com/profile_banners/1015636580/1459640324</v>
      </c>
      <c r="AQ26" s="68" t="b">
        <v>1</v>
      </c>
      <c r="AR26" s="68" t="b">
        <v>0</v>
      </c>
      <c r="AS26" s="68" t="b">
        <v>0</v>
      </c>
      <c r="AT26" s="68"/>
      <c r="AU26" s="68">
        <v>6</v>
      </c>
      <c r="AV26" s="72" t="str">
        <f>HYPERLINK("https://abs.twimg.com/images/themes/theme1/bg.png")</f>
        <v>https://abs.twimg.com/images/themes/theme1/bg.png</v>
      </c>
      <c r="AW26" s="68" t="b">
        <v>0</v>
      </c>
      <c r="AX26" s="68" t="s">
        <v>331</v>
      </c>
      <c r="AY26" s="72" t="str">
        <f>HYPERLINK("https://twitter.com/muribond")</f>
        <v>https://twitter.com/muribond</v>
      </c>
      <c r="AZ26" s="68" t="s">
        <v>66</v>
      </c>
      <c r="BA26" s="67" t="str">
        <f>REPLACE(INDEX(GroupVertices[Group],MATCH(Vertices[[#This Row],[Vertex]],GroupVertices[Vertex],0)),1,1,"")</f>
        <v>5</v>
      </c>
      <c r="BB26" s="49">
        <v>0</v>
      </c>
      <c r="BC26" s="50">
        <v>0</v>
      </c>
      <c r="BD26" s="49">
        <v>0</v>
      </c>
      <c r="BE26" s="50">
        <v>0</v>
      </c>
      <c r="BF26" s="49">
        <v>0</v>
      </c>
      <c r="BG26" s="50">
        <v>0</v>
      </c>
      <c r="BH26" s="49">
        <v>45</v>
      </c>
      <c r="BI26" s="50">
        <v>100</v>
      </c>
      <c r="BJ26" s="49">
        <v>45</v>
      </c>
      <c r="BK26" s="49"/>
      <c r="BL26" s="49"/>
      <c r="BM26" s="49"/>
      <c r="BN26" s="49"/>
      <c r="BO26" s="49" t="s">
        <v>712</v>
      </c>
      <c r="BP26" s="49" t="s">
        <v>712</v>
      </c>
      <c r="BQ26" s="92" t="s">
        <v>1783</v>
      </c>
      <c r="BR26" s="92" t="s">
        <v>1783</v>
      </c>
      <c r="BS26" s="92" t="s">
        <v>1863</v>
      </c>
      <c r="BT26" s="92" t="s">
        <v>1863</v>
      </c>
    </row>
    <row r="27" spans="1:72" ht="15">
      <c r="A27" s="66" t="s">
        <v>560</v>
      </c>
      <c r="B27" s="84"/>
      <c r="C27" s="84"/>
      <c r="D27" s="94">
        <v>100</v>
      </c>
      <c r="E27" s="104"/>
      <c r="F27" s="81" t="str">
        <f>HYPERLINK("https://pbs.twimg.com/profile_images/1376322234462187526/MkVDkuAa_normal.jpg")</f>
        <v>https://pbs.twimg.com/profile_images/1376322234462187526/MkVDkuAa_normal.jpg</v>
      </c>
      <c r="G27" s="105"/>
      <c r="H27" s="82" t="s">
        <v>560</v>
      </c>
      <c r="I27" s="97"/>
      <c r="J27" s="106"/>
      <c r="K27" s="82" t="s">
        <v>1373</v>
      </c>
      <c r="L27" s="107">
        <v>1</v>
      </c>
      <c r="M27" s="101">
        <v>3813.177978515625</v>
      </c>
      <c r="N27" s="101">
        <v>893.645263671875</v>
      </c>
      <c r="O27" s="102"/>
      <c r="P27" s="103"/>
      <c r="Q27" s="103"/>
      <c r="R27" s="108"/>
      <c r="S27" s="49">
        <v>0</v>
      </c>
      <c r="T27" s="49">
        <v>1</v>
      </c>
      <c r="U27" s="50">
        <v>0</v>
      </c>
      <c r="V27" s="50">
        <v>0.023742</v>
      </c>
      <c r="W27" s="50">
        <v>0</v>
      </c>
      <c r="X27" s="50">
        <v>0.007533</v>
      </c>
      <c r="Y27" s="50">
        <v>0</v>
      </c>
      <c r="Z27" s="50">
        <v>0</v>
      </c>
      <c r="AA27" s="98">
        <v>27</v>
      </c>
      <c r="AB27" s="98"/>
      <c r="AC27" s="99"/>
      <c r="AD27" s="68" t="s">
        <v>987</v>
      </c>
      <c r="AE27" s="73" t="s">
        <v>1096</v>
      </c>
      <c r="AF27" s="68">
        <v>1698</v>
      </c>
      <c r="AG27" s="68">
        <v>618</v>
      </c>
      <c r="AH27" s="68">
        <v>2068</v>
      </c>
      <c r="AI27" s="68">
        <v>2553</v>
      </c>
      <c r="AJ27" s="68"/>
      <c r="AK27" s="68" t="s">
        <v>1204</v>
      </c>
      <c r="AL27" s="68" t="s">
        <v>1304</v>
      </c>
      <c r="AM27" s="68"/>
      <c r="AN27" s="68"/>
      <c r="AO27" s="70">
        <v>42491.779340277775</v>
      </c>
      <c r="AP27" s="72" t="str">
        <f>HYPERLINK("https://pbs.twimg.com/profile_banners/726844198540943361/1566038369")</f>
        <v>https://pbs.twimg.com/profile_banners/726844198540943361/1566038369</v>
      </c>
      <c r="AQ27" s="68" t="b">
        <v>1</v>
      </c>
      <c r="AR27" s="68" t="b">
        <v>0</v>
      </c>
      <c r="AS27" s="68" t="b">
        <v>0</v>
      </c>
      <c r="AT27" s="68"/>
      <c r="AU27" s="68">
        <v>0</v>
      </c>
      <c r="AV27" s="68"/>
      <c r="AW27" s="68" t="b">
        <v>0</v>
      </c>
      <c r="AX27" s="68" t="s">
        <v>331</v>
      </c>
      <c r="AY27" s="72" t="str">
        <f>HYPERLINK("https://twitter.com/waziriey17")</f>
        <v>https://twitter.com/waziriey17</v>
      </c>
      <c r="AZ27" s="68" t="s">
        <v>66</v>
      </c>
      <c r="BA27" s="67" t="str">
        <f>REPLACE(INDEX(GroupVertices[Group],MATCH(Vertices[[#This Row],[Vertex]],GroupVertices[Vertex],0)),1,1,"")</f>
        <v>5</v>
      </c>
      <c r="BB27" s="49">
        <v>0</v>
      </c>
      <c r="BC27" s="50">
        <v>0</v>
      </c>
      <c r="BD27" s="49">
        <v>0</v>
      </c>
      <c r="BE27" s="50">
        <v>0</v>
      </c>
      <c r="BF27" s="49">
        <v>0</v>
      </c>
      <c r="BG27" s="50">
        <v>0</v>
      </c>
      <c r="BH27" s="49">
        <v>45</v>
      </c>
      <c r="BI27" s="50">
        <v>100</v>
      </c>
      <c r="BJ27" s="49">
        <v>45</v>
      </c>
      <c r="BK27" s="49"/>
      <c r="BL27" s="49"/>
      <c r="BM27" s="49"/>
      <c r="BN27" s="49"/>
      <c r="BO27" s="49" t="s">
        <v>712</v>
      </c>
      <c r="BP27" s="49" t="s">
        <v>712</v>
      </c>
      <c r="BQ27" s="92" t="s">
        <v>1783</v>
      </c>
      <c r="BR27" s="92" t="s">
        <v>1783</v>
      </c>
      <c r="BS27" s="92" t="s">
        <v>1863</v>
      </c>
      <c r="BT27" s="92" t="s">
        <v>1863</v>
      </c>
    </row>
    <row r="28" spans="1:72" ht="15">
      <c r="A28" s="66" t="s">
        <v>562</v>
      </c>
      <c r="B28" s="84"/>
      <c r="C28" s="84"/>
      <c r="D28" s="94">
        <v>100</v>
      </c>
      <c r="E28" s="104"/>
      <c r="F28" s="81" t="str">
        <f>HYPERLINK("https://pbs.twimg.com/profile_images/1518508733110034433/Mu1z6aVf_normal.jpg")</f>
        <v>https://pbs.twimg.com/profile_images/1518508733110034433/Mu1z6aVf_normal.jpg</v>
      </c>
      <c r="G28" s="105"/>
      <c r="H28" s="82" t="s">
        <v>562</v>
      </c>
      <c r="I28" s="97"/>
      <c r="J28" s="106"/>
      <c r="K28" s="82" t="s">
        <v>1374</v>
      </c>
      <c r="L28" s="107">
        <v>1</v>
      </c>
      <c r="M28" s="101">
        <v>5267.8349609375</v>
      </c>
      <c r="N28" s="101">
        <v>1584.0015869140625</v>
      </c>
      <c r="O28" s="102"/>
      <c r="P28" s="103"/>
      <c r="Q28" s="103"/>
      <c r="R28" s="108"/>
      <c r="S28" s="49">
        <v>0</v>
      </c>
      <c r="T28" s="49">
        <v>1</v>
      </c>
      <c r="U28" s="50">
        <v>0</v>
      </c>
      <c r="V28" s="50">
        <v>0.023742</v>
      </c>
      <c r="W28" s="50">
        <v>0</v>
      </c>
      <c r="X28" s="50">
        <v>0.007533</v>
      </c>
      <c r="Y28" s="50">
        <v>0</v>
      </c>
      <c r="Z28" s="50">
        <v>0</v>
      </c>
      <c r="AA28" s="98">
        <v>28</v>
      </c>
      <c r="AB28" s="98"/>
      <c r="AC28" s="99"/>
      <c r="AD28" s="68" t="s">
        <v>988</v>
      </c>
      <c r="AE28" s="73" t="s">
        <v>1097</v>
      </c>
      <c r="AF28" s="68">
        <v>2922</v>
      </c>
      <c r="AG28" s="68">
        <v>1601</v>
      </c>
      <c r="AH28" s="68">
        <v>15262</v>
      </c>
      <c r="AI28" s="68">
        <v>25053</v>
      </c>
      <c r="AJ28" s="68"/>
      <c r="AK28" s="68" t="s">
        <v>1205</v>
      </c>
      <c r="AL28" s="68" t="s">
        <v>1306</v>
      </c>
      <c r="AM28" s="68"/>
      <c r="AN28" s="68"/>
      <c r="AO28" s="70">
        <v>43016.97162037037</v>
      </c>
      <c r="AP28" s="72" t="str">
        <f>HYPERLINK("https://pbs.twimg.com/profile_banners/917167508301533184/1569423299")</f>
        <v>https://pbs.twimg.com/profile_banners/917167508301533184/1569423299</v>
      </c>
      <c r="AQ28" s="68" t="b">
        <v>1</v>
      </c>
      <c r="AR28" s="68" t="b">
        <v>0</v>
      </c>
      <c r="AS28" s="68" t="b">
        <v>1</v>
      </c>
      <c r="AT28" s="68"/>
      <c r="AU28" s="68">
        <v>5</v>
      </c>
      <c r="AV28" s="68"/>
      <c r="AW28" s="68" t="b">
        <v>0</v>
      </c>
      <c r="AX28" s="68" t="s">
        <v>331</v>
      </c>
      <c r="AY28" s="72" t="str">
        <f>HYPERLINK("https://twitter.com/sololurd")</f>
        <v>https://twitter.com/sololurd</v>
      </c>
      <c r="AZ28" s="68" t="s">
        <v>66</v>
      </c>
      <c r="BA28" s="67" t="str">
        <f>REPLACE(INDEX(GroupVertices[Group],MATCH(Vertices[[#This Row],[Vertex]],GroupVertices[Vertex],0)),1,1,"")</f>
        <v>5</v>
      </c>
      <c r="BB28" s="49">
        <v>0</v>
      </c>
      <c r="BC28" s="50">
        <v>0</v>
      </c>
      <c r="BD28" s="49">
        <v>0</v>
      </c>
      <c r="BE28" s="50">
        <v>0</v>
      </c>
      <c r="BF28" s="49">
        <v>0</v>
      </c>
      <c r="BG28" s="50">
        <v>0</v>
      </c>
      <c r="BH28" s="49">
        <v>45</v>
      </c>
      <c r="BI28" s="50">
        <v>100</v>
      </c>
      <c r="BJ28" s="49">
        <v>45</v>
      </c>
      <c r="BK28" s="49"/>
      <c r="BL28" s="49"/>
      <c r="BM28" s="49"/>
      <c r="BN28" s="49"/>
      <c r="BO28" s="49" t="s">
        <v>712</v>
      </c>
      <c r="BP28" s="49" t="s">
        <v>712</v>
      </c>
      <c r="BQ28" s="92" t="s">
        <v>1783</v>
      </c>
      <c r="BR28" s="92" t="s">
        <v>1783</v>
      </c>
      <c r="BS28" s="92" t="s">
        <v>1863</v>
      </c>
      <c r="BT28" s="92" t="s">
        <v>1863</v>
      </c>
    </row>
    <row r="29" spans="1:72" ht="15">
      <c r="A29" s="66" t="s">
        <v>563</v>
      </c>
      <c r="B29" s="84"/>
      <c r="C29" s="84"/>
      <c r="D29" s="94">
        <v>100</v>
      </c>
      <c r="E29" s="104"/>
      <c r="F29" s="81" t="str">
        <f>HYPERLINK("https://pbs.twimg.com/profile_images/1505662173724708864/8XbOtRBE_normal.jpg")</f>
        <v>https://pbs.twimg.com/profile_images/1505662173724708864/8XbOtRBE_normal.jpg</v>
      </c>
      <c r="G29" s="105"/>
      <c r="H29" s="82" t="s">
        <v>563</v>
      </c>
      <c r="I29" s="97"/>
      <c r="J29" s="106"/>
      <c r="K29" s="82" t="s">
        <v>1375</v>
      </c>
      <c r="L29" s="107">
        <v>1</v>
      </c>
      <c r="M29" s="101">
        <v>494.30084228515625</v>
      </c>
      <c r="N29" s="101">
        <v>751.0459594726562</v>
      </c>
      <c r="O29" s="102"/>
      <c r="P29" s="103"/>
      <c r="Q29" s="103"/>
      <c r="R29" s="108"/>
      <c r="S29" s="49">
        <v>1</v>
      </c>
      <c r="T29" s="49">
        <v>1</v>
      </c>
      <c r="U29" s="50">
        <v>0</v>
      </c>
      <c r="V29" s="50">
        <v>0</v>
      </c>
      <c r="W29" s="50">
        <v>0</v>
      </c>
      <c r="X29" s="50">
        <v>0.008475</v>
      </c>
      <c r="Y29" s="50">
        <v>0</v>
      </c>
      <c r="Z29" s="50">
        <v>0</v>
      </c>
      <c r="AA29" s="98">
        <v>29</v>
      </c>
      <c r="AB29" s="98"/>
      <c r="AC29" s="99"/>
      <c r="AD29" s="68" t="s">
        <v>989</v>
      </c>
      <c r="AE29" s="73" t="s">
        <v>1098</v>
      </c>
      <c r="AF29" s="68">
        <v>1846</v>
      </c>
      <c r="AG29" s="68">
        <v>58210</v>
      </c>
      <c r="AH29" s="68">
        <v>6990</v>
      </c>
      <c r="AI29" s="68">
        <v>5710</v>
      </c>
      <c r="AJ29" s="68"/>
      <c r="AK29" s="68" t="s">
        <v>1206</v>
      </c>
      <c r="AL29" s="68" t="s">
        <v>1307</v>
      </c>
      <c r="AM29" s="72" t="str">
        <f>HYPERLINK("https://t.co/eDluMoUYGW")</f>
        <v>https://t.co/eDluMoUYGW</v>
      </c>
      <c r="AN29" s="68"/>
      <c r="AO29" s="70">
        <v>40221.17869212963</v>
      </c>
      <c r="AP29" s="72" t="str">
        <f>HYPERLINK("https://pbs.twimg.com/profile_banners/113540204/1647812811")</f>
        <v>https://pbs.twimg.com/profile_banners/113540204/1647812811</v>
      </c>
      <c r="AQ29" s="68" t="b">
        <v>0</v>
      </c>
      <c r="AR29" s="68" t="b">
        <v>0</v>
      </c>
      <c r="AS29" s="68" t="b">
        <v>1</v>
      </c>
      <c r="AT29" s="68"/>
      <c r="AU29" s="68">
        <v>347</v>
      </c>
      <c r="AV29" s="72" t="str">
        <f>HYPERLINK("https://abs.twimg.com/images/themes/theme14/bg.gif")</f>
        <v>https://abs.twimg.com/images/themes/theme14/bg.gif</v>
      </c>
      <c r="AW29" s="68" t="b">
        <v>0</v>
      </c>
      <c r="AX29" s="68" t="s">
        <v>331</v>
      </c>
      <c r="AY29" s="72" t="str">
        <f>HYPERLINK("https://twitter.com/tovaobrien")</f>
        <v>https://twitter.com/tovaobrien</v>
      </c>
      <c r="AZ29" s="68" t="s">
        <v>66</v>
      </c>
      <c r="BA29" s="67" t="str">
        <f>REPLACE(INDEX(GroupVertices[Group],MATCH(Vertices[[#This Row],[Vertex]],GroupVertices[Vertex],0)),1,1,"")</f>
        <v>2</v>
      </c>
      <c r="BB29" s="49">
        <v>2</v>
      </c>
      <c r="BC29" s="50">
        <v>3.8461538461538463</v>
      </c>
      <c r="BD29" s="49">
        <v>1</v>
      </c>
      <c r="BE29" s="50">
        <v>1.9230769230769231</v>
      </c>
      <c r="BF29" s="49">
        <v>0</v>
      </c>
      <c r="BG29" s="50">
        <v>0</v>
      </c>
      <c r="BH29" s="49">
        <v>49</v>
      </c>
      <c r="BI29" s="50">
        <v>94.23076923076923</v>
      </c>
      <c r="BJ29" s="49">
        <v>52</v>
      </c>
      <c r="BK29" s="49"/>
      <c r="BL29" s="49"/>
      <c r="BM29" s="49"/>
      <c r="BN29" s="49"/>
      <c r="BO29" s="49"/>
      <c r="BP29" s="49"/>
      <c r="BQ29" s="92" t="s">
        <v>1926</v>
      </c>
      <c r="BR29" s="92" t="s">
        <v>1926</v>
      </c>
      <c r="BS29" s="92" t="s">
        <v>1970</v>
      </c>
      <c r="BT29" s="92" t="s">
        <v>1970</v>
      </c>
    </row>
    <row r="30" spans="1:72" ht="15">
      <c r="A30" s="66" t="s">
        <v>564</v>
      </c>
      <c r="B30" s="84"/>
      <c r="C30" s="84"/>
      <c r="D30" s="94">
        <v>100</v>
      </c>
      <c r="E30" s="104"/>
      <c r="F30" s="81" t="str">
        <f>HYPERLINK("https://pbs.twimg.com/profile_images/1267083425/ArchDigestShopAd_normal.jpg")</f>
        <v>https://pbs.twimg.com/profile_images/1267083425/ArchDigestShopAd_normal.jpg</v>
      </c>
      <c r="G30" s="105"/>
      <c r="H30" s="82" t="s">
        <v>564</v>
      </c>
      <c r="I30" s="97"/>
      <c r="J30" s="106"/>
      <c r="K30" s="82" t="s">
        <v>1376</v>
      </c>
      <c r="L30" s="107">
        <v>1</v>
      </c>
      <c r="M30" s="101">
        <v>6583.15966796875</v>
      </c>
      <c r="N30" s="101">
        <v>7151.7509765625</v>
      </c>
      <c r="O30" s="102"/>
      <c r="P30" s="103"/>
      <c r="Q30" s="103"/>
      <c r="R30" s="108"/>
      <c r="S30" s="49">
        <v>0</v>
      </c>
      <c r="T30" s="49">
        <v>2</v>
      </c>
      <c r="U30" s="50">
        <v>0</v>
      </c>
      <c r="V30" s="50">
        <v>0.026709</v>
      </c>
      <c r="W30" s="50">
        <v>0</v>
      </c>
      <c r="X30" s="50">
        <v>0.007794</v>
      </c>
      <c r="Y30" s="50">
        <v>0.5</v>
      </c>
      <c r="Z30" s="50">
        <v>0</v>
      </c>
      <c r="AA30" s="98">
        <v>30</v>
      </c>
      <c r="AB30" s="98"/>
      <c r="AC30" s="99"/>
      <c r="AD30" s="68" t="s">
        <v>990</v>
      </c>
      <c r="AE30" s="73" t="s">
        <v>1099</v>
      </c>
      <c r="AF30" s="68">
        <v>593</v>
      </c>
      <c r="AG30" s="68">
        <v>6527</v>
      </c>
      <c r="AH30" s="68">
        <v>380509</v>
      </c>
      <c r="AI30" s="68">
        <v>585</v>
      </c>
      <c r="AJ30" s="68"/>
      <c r="AK30" s="68" t="s">
        <v>1207</v>
      </c>
      <c r="AL30" s="68" t="s">
        <v>1308</v>
      </c>
      <c r="AM30" s="72" t="str">
        <f>HYPERLINK("http://t.co/d44vPHQlTN")</f>
        <v>http://t.co/d44vPHQlTN</v>
      </c>
      <c r="AN30" s="68"/>
      <c r="AO30" s="70">
        <v>40261.80788194444</v>
      </c>
      <c r="AP30" s="72" t="str">
        <f>HYPERLINK("https://pbs.twimg.com/profile_banners/126075164/1358485437")</f>
        <v>https://pbs.twimg.com/profile_banners/126075164/1358485437</v>
      </c>
      <c r="AQ30" s="68" t="b">
        <v>0</v>
      </c>
      <c r="AR30" s="68" t="b">
        <v>0</v>
      </c>
      <c r="AS30" s="68" t="b">
        <v>0</v>
      </c>
      <c r="AT30" s="68"/>
      <c r="AU30" s="68">
        <v>81</v>
      </c>
      <c r="AV30" s="72" t="str">
        <f>HYPERLINK("https://abs.twimg.com/images/themes/theme1/bg.png")</f>
        <v>https://abs.twimg.com/images/themes/theme1/bg.png</v>
      </c>
      <c r="AW30" s="68" t="b">
        <v>0</v>
      </c>
      <c r="AX30" s="68" t="s">
        <v>331</v>
      </c>
      <c r="AY30" s="72" t="str">
        <f>HYPERLINK("https://twitter.com/eco1start")</f>
        <v>https://twitter.com/eco1start</v>
      </c>
      <c r="AZ30" s="68" t="s">
        <v>66</v>
      </c>
      <c r="BA30" s="67" t="str">
        <f>REPLACE(INDEX(GroupVertices[Group],MATCH(Vertices[[#This Row],[Vertex]],GroupVertices[Vertex],0)),1,1,"")</f>
        <v>4</v>
      </c>
      <c r="BB30" s="49">
        <v>4</v>
      </c>
      <c r="BC30" s="50">
        <v>40</v>
      </c>
      <c r="BD30" s="49">
        <v>0</v>
      </c>
      <c r="BE30" s="50">
        <v>0</v>
      </c>
      <c r="BF30" s="49">
        <v>0</v>
      </c>
      <c r="BG30" s="50">
        <v>0</v>
      </c>
      <c r="BH30" s="49">
        <v>6</v>
      </c>
      <c r="BI30" s="50">
        <v>60</v>
      </c>
      <c r="BJ30" s="49">
        <v>10</v>
      </c>
      <c r="BK30" s="49"/>
      <c r="BL30" s="49"/>
      <c r="BM30" s="49"/>
      <c r="BN30" s="49"/>
      <c r="BO30" s="49" t="s">
        <v>713</v>
      </c>
      <c r="BP30" s="49" t="s">
        <v>713</v>
      </c>
      <c r="BQ30" s="92" t="s">
        <v>1927</v>
      </c>
      <c r="BR30" s="92" t="s">
        <v>1927</v>
      </c>
      <c r="BS30" s="92" t="s">
        <v>1971</v>
      </c>
      <c r="BT30" s="92" t="s">
        <v>1971</v>
      </c>
    </row>
    <row r="31" spans="1:72" ht="15">
      <c r="A31" s="66" t="s">
        <v>642</v>
      </c>
      <c r="B31" s="84"/>
      <c r="C31" s="84"/>
      <c r="D31" s="94">
        <v>370</v>
      </c>
      <c r="E31" s="104"/>
      <c r="F31" s="81" t="str">
        <f>HYPERLINK("https://pbs.twimg.com/profile_images/649006958586892288/AjNsmoY3_normal.jpg")</f>
        <v>https://pbs.twimg.com/profile_images/649006958586892288/AjNsmoY3_normal.jpg</v>
      </c>
      <c r="G31" s="105"/>
      <c r="H31" s="82" t="s">
        <v>642</v>
      </c>
      <c r="I31" s="97"/>
      <c r="J31" s="106"/>
      <c r="K31" s="82" t="s">
        <v>1377</v>
      </c>
      <c r="L31" s="107">
        <v>119.55335968379447</v>
      </c>
      <c r="M31" s="101">
        <v>6002.0615234375</v>
      </c>
      <c r="N31" s="101">
        <v>8565.1689453125</v>
      </c>
      <c r="O31" s="102"/>
      <c r="P31" s="103"/>
      <c r="Q31" s="103"/>
      <c r="R31" s="108"/>
      <c r="S31" s="49">
        <v>5</v>
      </c>
      <c r="T31" s="49">
        <v>0</v>
      </c>
      <c r="U31" s="50">
        <v>6</v>
      </c>
      <c r="V31" s="50">
        <v>0.042735</v>
      </c>
      <c r="W31" s="50">
        <v>0</v>
      </c>
      <c r="X31" s="50">
        <v>0.009837</v>
      </c>
      <c r="Y31" s="50">
        <v>0.2</v>
      </c>
      <c r="Z31" s="50">
        <v>0</v>
      </c>
      <c r="AA31" s="98">
        <v>31</v>
      </c>
      <c r="AB31" s="98"/>
      <c r="AC31" s="99"/>
      <c r="AD31" s="68" t="s">
        <v>991</v>
      </c>
      <c r="AE31" s="73" t="s">
        <v>1100</v>
      </c>
      <c r="AF31" s="68">
        <v>719</v>
      </c>
      <c r="AG31" s="68">
        <v>1001</v>
      </c>
      <c r="AH31" s="68">
        <v>1036</v>
      </c>
      <c r="AI31" s="68">
        <v>1022</v>
      </c>
      <c r="AJ31" s="68"/>
      <c r="AK31" s="68" t="s">
        <v>1208</v>
      </c>
      <c r="AL31" s="68" t="s">
        <v>326</v>
      </c>
      <c r="AM31" s="72" t="str">
        <f>HYPERLINK("http://t.co/Xo4D7CSK38")</f>
        <v>http://t.co/Xo4D7CSK38</v>
      </c>
      <c r="AN31" s="68"/>
      <c r="AO31" s="70">
        <v>42120.13869212963</v>
      </c>
      <c r="AP31" s="72" t="str">
        <f>HYPERLINK("https://pbs.twimg.com/profile_banners/3174422112/1471396769")</f>
        <v>https://pbs.twimg.com/profile_banners/3174422112/1471396769</v>
      </c>
      <c r="AQ31" s="68" t="b">
        <v>0</v>
      </c>
      <c r="AR31" s="68" t="b">
        <v>0</v>
      </c>
      <c r="AS31" s="68" t="b">
        <v>1</v>
      </c>
      <c r="AT31" s="68"/>
      <c r="AU31" s="68">
        <v>18</v>
      </c>
      <c r="AV31" s="72" t="str">
        <f>HYPERLINK("https://abs.twimg.com/images/themes/theme1/bg.png")</f>
        <v>https://abs.twimg.com/images/themes/theme1/bg.png</v>
      </c>
      <c r="AW31" s="68" t="b">
        <v>0</v>
      </c>
      <c r="AX31" s="68" t="s">
        <v>331</v>
      </c>
      <c r="AY31" s="72" t="str">
        <f>HYPERLINK("https://twitter.com/cyclingactionnz")</f>
        <v>https://twitter.com/cyclingactionnz</v>
      </c>
      <c r="AZ31" s="68" t="s">
        <v>65</v>
      </c>
      <c r="BA31" s="67"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row>
    <row r="32" spans="1:72" ht="15">
      <c r="A32" s="66" t="s">
        <v>603</v>
      </c>
      <c r="B32" s="84"/>
      <c r="C32" s="84"/>
      <c r="D32" s="94">
        <v>370</v>
      </c>
      <c r="E32" s="104"/>
      <c r="F32" s="81" t="str">
        <f>HYPERLINK("https://pbs.twimg.com/profile_images/1346958814248017924/D99DDQoK_normal.jpg")</f>
        <v>https://pbs.twimg.com/profile_images/1346958814248017924/D99DDQoK_normal.jpg</v>
      </c>
      <c r="G32" s="105"/>
      <c r="H32" s="82" t="s">
        <v>603</v>
      </c>
      <c r="I32" s="97"/>
      <c r="J32" s="106"/>
      <c r="K32" s="82" t="s">
        <v>1378</v>
      </c>
      <c r="L32" s="107">
        <v>119.55335968379447</v>
      </c>
      <c r="M32" s="101">
        <v>6397.849609375</v>
      </c>
      <c r="N32" s="101">
        <v>8361.4658203125</v>
      </c>
      <c r="O32" s="102"/>
      <c r="P32" s="103"/>
      <c r="Q32" s="103"/>
      <c r="R32" s="108"/>
      <c r="S32" s="49">
        <v>4</v>
      </c>
      <c r="T32" s="49">
        <v>1</v>
      </c>
      <c r="U32" s="50">
        <v>6</v>
      </c>
      <c r="V32" s="50">
        <v>0.042735</v>
      </c>
      <c r="W32" s="50">
        <v>0</v>
      </c>
      <c r="X32" s="50">
        <v>0.009837</v>
      </c>
      <c r="Y32" s="50">
        <v>0.2</v>
      </c>
      <c r="Z32" s="50">
        <v>0</v>
      </c>
      <c r="AA32" s="98">
        <v>32</v>
      </c>
      <c r="AB32" s="98"/>
      <c r="AC32" s="99"/>
      <c r="AD32" s="68" t="s">
        <v>992</v>
      </c>
      <c r="AE32" s="73" t="s">
        <v>1101</v>
      </c>
      <c r="AF32" s="68">
        <v>946</v>
      </c>
      <c r="AG32" s="68">
        <v>2385</v>
      </c>
      <c r="AH32" s="68">
        <v>20281</v>
      </c>
      <c r="AI32" s="68">
        <v>23240</v>
      </c>
      <c r="AJ32" s="68"/>
      <c r="AK32" s="68" t="s">
        <v>1209</v>
      </c>
      <c r="AL32" s="68" t="s">
        <v>960</v>
      </c>
      <c r="AM32" s="72" t="str">
        <f>HYPERLINK("https://t.co/Xo4D7CSK38")</f>
        <v>https://t.co/Xo4D7CSK38</v>
      </c>
      <c r="AN32" s="68"/>
      <c r="AO32" s="70">
        <v>39802.315671296295</v>
      </c>
      <c r="AP32" s="72" t="str">
        <f>HYPERLINK("https://pbs.twimg.com/profile_banners/18263340/1622354368")</f>
        <v>https://pbs.twimg.com/profile_banners/18263340/1622354368</v>
      </c>
      <c r="AQ32" s="68" t="b">
        <v>1</v>
      </c>
      <c r="AR32" s="68" t="b">
        <v>0</v>
      </c>
      <c r="AS32" s="68" t="b">
        <v>1</v>
      </c>
      <c r="AT32" s="68"/>
      <c r="AU32" s="68">
        <v>48</v>
      </c>
      <c r="AV32" s="72" t="str">
        <f>HYPERLINK("https://abs.twimg.com/images/themes/theme1/bg.png")</f>
        <v>https://abs.twimg.com/images/themes/theme1/bg.png</v>
      </c>
      <c r="AW32" s="68" t="b">
        <v>0</v>
      </c>
      <c r="AX32" s="68" t="s">
        <v>331</v>
      </c>
      <c r="AY32" s="72" t="str">
        <f>HYPERLINK("https://twitter.com/patrickmorgan")</f>
        <v>https://twitter.com/patrickmorgan</v>
      </c>
      <c r="AZ32" s="68" t="s">
        <v>66</v>
      </c>
      <c r="BA32" s="67" t="str">
        <f>REPLACE(INDEX(GroupVertices[Group],MATCH(Vertices[[#This Row],[Vertex]],GroupVertices[Vertex],0)),1,1,"")</f>
        <v>4</v>
      </c>
      <c r="BB32" s="49">
        <v>5</v>
      </c>
      <c r="BC32" s="50">
        <v>19.23076923076923</v>
      </c>
      <c r="BD32" s="49">
        <v>0</v>
      </c>
      <c r="BE32" s="50">
        <v>0</v>
      </c>
      <c r="BF32" s="49">
        <v>0</v>
      </c>
      <c r="BG32" s="50">
        <v>0</v>
      </c>
      <c r="BH32" s="49">
        <v>21</v>
      </c>
      <c r="BI32" s="50">
        <v>80.76923076923077</v>
      </c>
      <c r="BJ32" s="49">
        <v>26</v>
      </c>
      <c r="BK32" s="49" t="s">
        <v>1711</v>
      </c>
      <c r="BL32" s="49" t="s">
        <v>1711</v>
      </c>
      <c r="BM32" s="49" t="s">
        <v>702</v>
      </c>
      <c r="BN32" s="49" t="s">
        <v>702</v>
      </c>
      <c r="BO32" s="49" t="s">
        <v>713</v>
      </c>
      <c r="BP32" s="49" t="s">
        <v>713</v>
      </c>
      <c r="BQ32" s="92" t="s">
        <v>1928</v>
      </c>
      <c r="BR32" s="92" t="s">
        <v>1957</v>
      </c>
      <c r="BS32" s="92" t="s">
        <v>1972</v>
      </c>
      <c r="BT32" s="92" t="s">
        <v>1996</v>
      </c>
    </row>
    <row r="33" spans="1:72" ht="15">
      <c r="A33" s="66" t="s">
        <v>565</v>
      </c>
      <c r="B33" s="84"/>
      <c r="C33" s="84"/>
      <c r="D33" s="94">
        <v>100</v>
      </c>
      <c r="E33" s="104"/>
      <c r="F33" s="81" t="str">
        <f>HYPERLINK("https://pbs.twimg.com/profile_images/1301154861/0373ab24-0d88-4b26-b116-591334e252b5_normal.png")</f>
        <v>https://pbs.twimg.com/profile_images/1301154861/0373ab24-0d88-4b26-b116-591334e252b5_normal.png</v>
      </c>
      <c r="G33" s="105"/>
      <c r="H33" s="82" t="s">
        <v>565</v>
      </c>
      <c r="I33" s="97"/>
      <c r="J33" s="106"/>
      <c r="K33" s="82" t="s">
        <v>1379</v>
      </c>
      <c r="L33" s="107">
        <v>1</v>
      </c>
      <c r="M33" s="101">
        <v>5816.72265625</v>
      </c>
      <c r="N33" s="101">
        <v>9734.453125</v>
      </c>
      <c r="O33" s="102"/>
      <c r="P33" s="103"/>
      <c r="Q33" s="103"/>
      <c r="R33" s="108"/>
      <c r="S33" s="49">
        <v>0</v>
      </c>
      <c r="T33" s="49">
        <v>2</v>
      </c>
      <c r="U33" s="50">
        <v>0</v>
      </c>
      <c r="V33" s="50">
        <v>0.026709</v>
      </c>
      <c r="W33" s="50">
        <v>0</v>
      </c>
      <c r="X33" s="50">
        <v>0.007794</v>
      </c>
      <c r="Y33" s="50">
        <v>0.5</v>
      </c>
      <c r="Z33" s="50">
        <v>0</v>
      </c>
      <c r="AA33" s="98">
        <v>33</v>
      </c>
      <c r="AB33" s="98"/>
      <c r="AC33" s="99"/>
      <c r="AD33" s="68" t="s">
        <v>993</v>
      </c>
      <c r="AE33" s="73" t="s">
        <v>1102</v>
      </c>
      <c r="AF33" s="68">
        <v>1077</v>
      </c>
      <c r="AG33" s="68">
        <v>726</v>
      </c>
      <c r="AH33" s="68">
        <v>44254</v>
      </c>
      <c r="AI33" s="68">
        <v>40936</v>
      </c>
      <c r="AJ33" s="68"/>
      <c r="AK33" s="68" t="s">
        <v>1210</v>
      </c>
      <c r="AL33" s="68" t="s">
        <v>1309</v>
      </c>
      <c r="AM33" s="72" t="str">
        <f>HYPERLINK("https://t.co/070LtfguNM")</f>
        <v>https://t.co/070LtfguNM</v>
      </c>
      <c r="AN33" s="68"/>
      <c r="AO33" s="70">
        <v>40514.44336805555</v>
      </c>
      <c r="AP33" s="72" t="str">
        <f>HYPERLINK("https://pbs.twimg.com/profile_banners/222060976/1403026509")</f>
        <v>https://pbs.twimg.com/profile_banners/222060976/1403026509</v>
      </c>
      <c r="AQ33" s="68" t="b">
        <v>1</v>
      </c>
      <c r="AR33" s="68" t="b">
        <v>0</v>
      </c>
      <c r="AS33" s="68" t="b">
        <v>1</v>
      </c>
      <c r="AT33" s="68"/>
      <c r="AU33" s="68">
        <v>21</v>
      </c>
      <c r="AV33" s="72" t="str">
        <f>HYPERLINK("https://abs.twimg.com/images/themes/theme1/bg.png")</f>
        <v>https://abs.twimg.com/images/themes/theme1/bg.png</v>
      </c>
      <c r="AW33" s="68" t="b">
        <v>0</v>
      </c>
      <c r="AX33" s="68" t="s">
        <v>331</v>
      </c>
      <c r="AY33" s="72" t="str">
        <f>HYPERLINK("https://twitter.com/urbantui")</f>
        <v>https://twitter.com/urbantui</v>
      </c>
      <c r="AZ33" s="68" t="s">
        <v>66</v>
      </c>
      <c r="BA33" s="67" t="str">
        <f>REPLACE(INDEX(GroupVertices[Group],MATCH(Vertices[[#This Row],[Vertex]],GroupVertices[Vertex],0)),1,1,"")</f>
        <v>4</v>
      </c>
      <c r="BB33" s="49">
        <v>4</v>
      </c>
      <c r="BC33" s="50">
        <v>40</v>
      </c>
      <c r="BD33" s="49">
        <v>0</v>
      </c>
      <c r="BE33" s="50">
        <v>0</v>
      </c>
      <c r="BF33" s="49">
        <v>0</v>
      </c>
      <c r="BG33" s="50">
        <v>0</v>
      </c>
      <c r="BH33" s="49">
        <v>6</v>
      </c>
      <c r="BI33" s="50">
        <v>60</v>
      </c>
      <c r="BJ33" s="49">
        <v>10</v>
      </c>
      <c r="BK33" s="49"/>
      <c r="BL33" s="49"/>
      <c r="BM33" s="49"/>
      <c r="BN33" s="49"/>
      <c r="BO33" s="49" t="s">
        <v>713</v>
      </c>
      <c r="BP33" s="49" t="s">
        <v>713</v>
      </c>
      <c r="BQ33" s="92" t="s">
        <v>1927</v>
      </c>
      <c r="BR33" s="92" t="s">
        <v>1927</v>
      </c>
      <c r="BS33" s="92" t="s">
        <v>1971</v>
      </c>
      <c r="BT33" s="92" t="s">
        <v>1971</v>
      </c>
    </row>
    <row r="34" spans="1:72" ht="15">
      <c r="A34" s="66" t="s">
        <v>566</v>
      </c>
      <c r="B34" s="84"/>
      <c r="C34" s="84"/>
      <c r="D34" s="94">
        <v>100</v>
      </c>
      <c r="E34" s="104"/>
      <c r="F34" s="81" t="str">
        <f>HYPERLINK("https://pbs.twimg.com/profile_images/1498193410351525888/eMc-kHZZ_normal.jpg")</f>
        <v>https://pbs.twimg.com/profile_images/1498193410351525888/eMc-kHZZ_normal.jpg</v>
      </c>
      <c r="G34" s="105"/>
      <c r="H34" s="82" t="s">
        <v>566</v>
      </c>
      <c r="I34" s="97"/>
      <c r="J34" s="106"/>
      <c r="K34" s="82" t="s">
        <v>1380</v>
      </c>
      <c r="L34" s="107">
        <v>1</v>
      </c>
      <c r="M34" s="101">
        <v>6990.826171875</v>
      </c>
      <c r="N34" s="101">
        <v>9169.4189453125</v>
      </c>
      <c r="O34" s="102"/>
      <c r="P34" s="103"/>
      <c r="Q34" s="103"/>
      <c r="R34" s="108"/>
      <c r="S34" s="49">
        <v>0</v>
      </c>
      <c r="T34" s="49">
        <v>2</v>
      </c>
      <c r="U34" s="50">
        <v>0</v>
      </c>
      <c r="V34" s="50">
        <v>0.026709</v>
      </c>
      <c r="W34" s="50">
        <v>0</v>
      </c>
      <c r="X34" s="50">
        <v>0.007794</v>
      </c>
      <c r="Y34" s="50">
        <v>0.5</v>
      </c>
      <c r="Z34" s="50">
        <v>0</v>
      </c>
      <c r="AA34" s="98">
        <v>34</v>
      </c>
      <c r="AB34" s="98"/>
      <c r="AC34" s="99"/>
      <c r="AD34" s="68" t="s">
        <v>994</v>
      </c>
      <c r="AE34" s="73" t="s">
        <v>1103</v>
      </c>
      <c r="AF34" s="68">
        <v>238</v>
      </c>
      <c r="AG34" s="68">
        <v>103</v>
      </c>
      <c r="AH34" s="68">
        <v>725</v>
      </c>
      <c r="AI34" s="68">
        <v>4510</v>
      </c>
      <c r="AJ34" s="68"/>
      <c r="AK34" s="68" t="s">
        <v>1211</v>
      </c>
      <c r="AL34" s="68" t="s">
        <v>1310</v>
      </c>
      <c r="AM34" s="68"/>
      <c r="AN34" s="68"/>
      <c r="AO34" s="70">
        <v>43470.2734837963</v>
      </c>
      <c r="AP34" s="72" t="str">
        <f>HYPERLINK("https://pbs.twimg.com/profile_banners/1081438603064926208/1641193022")</f>
        <v>https://pbs.twimg.com/profile_banners/1081438603064926208/1641193022</v>
      </c>
      <c r="AQ34" s="68" t="b">
        <v>1</v>
      </c>
      <c r="AR34" s="68" t="b">
        <v>0</v>
      </c>
      <c r="AS34" s="68" t="b">
        <v>1</v>
      </c>
      <c r="AT34" s="68"/>
      <c r="AU34" s="68">
        <v>0</v>
      </c>
      <c r="AV34" s="68"/>
      <c r="AW34" s="68" t="b">
        <v>0</v>
      </c>
      <c r="AX34" s="68" t="s">
        <v>331</v>
      </c>
      <c r="AY34" s="72" t="str">
        <f>HYPERLINK("https://twitter.com/allantaunt")</f>
        <v>https://twitter.com/allantaunt</v>
      </c>
      <c r="AZ34" s="68" t="s">
        <v>66</v>
      </c>
      <c r="BA34" s="67" t="str">
        <f>REPLACE(INDEX(GroupVertices[Group],MATCH(Vertices[[#This Row],[Vertex]],GroupVertices[Vertex],0)),1,1,"")</f>
        <v>4</v>
      </c>
      <c r="BB34" s="49">
        <v>4</v>
      </c>
      <c r="BC34" s="50">
        <v>40</v>
      </c>
      <c r="BD34" s="49">
        <v>0</v>
      </c>
      <c r="BE34" s="50">
        <v>0</v>
      </c>
      <c r="BF34" s="49">
        <v>0</v>
      </c>
      <c r="BG34" s="50">
        <v>0</v>
      </c>
      <c r="BH34" s="49">
        <v>6</v>
      </c>
      <c r="BI34" s="50">
        <v>60</v>
      </c>
      <c r="BJ34" s="49">
        <v>10</v>
      </c>
      <c r="BK34" s="49"/>
      <c r="BL34" s="49"/>
      <c r="BM34" s="49"/>
      <c r="BN34" s="49"/>
      <c r="BO34" s="49" t="s">
        <v>713</v>
      </c>
      <c r="BP34" s="49" t="s">
        <v>713</v>
      </c>
      <c r="BQ34" s="92" t="s">
        <v>1927</v>
      </c>
      <c r="BR34" s="92" t="s">
        <v>1927</v>
      </c>
      <c r="BS34" s="92" t="s">
        <v>1971</v>
      </c>
      <c r="BT34" s="92" t="s">
        <v>1971</v>
      </c>
    </row>
    <row r="35" spans="1:72" ht="15">
      <c r="A35" s="66" t="s">
        <v>567</v>
      </c>
      <c r="B35" s="84"/>
      <c r="C35" s="84"/>
      <c r="D35" s="94">
        <v>100</v>
      </c>
      <c r="E35" s="104"/>
      <c r="F35" s="81" t="str">
        <f>HYPERLINK("https://pbs.twimg.com/profile_images/968636394208878592/qqOUUqZ8_normal.jpg")</f>
        <v>https://pbs.twimg.com/profile_images/968636394208878592/qqOUUqZ8_normal.jpg</v>
      </c>
      <c r="G35" s="105"/>
      <c r="H35" s="82" t="s">
        <v>567</v>
      </c>
      <c r="I35" s="97"/>
      <c r="J35" s="106"/>
      <c r="K35" s="82" t="s">
        <v>1381</v>
      </c>
      <c r="L35" s="107">
        <v>1</v>
      </c>
      <c r="M35" s="101">
        <v>8563.78515625</v>
      </c>
      <c r="N35" s="101">
        <v>9734.453125</v>
      </c>
      <c r="O35" s="102"/>
      <c r="P35" s="103"/>
      <c r="Q35" s="103"/>
      <c r="R35" s="108"/>
      <c r="S35" s="49">
        <v>2</v>
      </c>
      <c r="T35" s="49">
        <v>3</v>
      </c>
      <c r="U35" s="50">
        <v>0</v>
      </c>
      <c r="V35" s="50">
        <v>0.02735</v>
      </c>
      <c r="W35" s="50">
        <v>0</v>
      </c>
      <c r="X35" s="50">
        <v>0.0086</v>
      </c>
      <c r="Y35" s="50">
        <v>0.6666666666666666</v>
      </c>
      <c r="Z35" s="50">
        <v>0</v>
      </c>
      <c r="AA35" s="98">
        <v>35</v>
      </c>
      <c r="AB35" s="98"/>
      <c r="AC35" s="99"/>
      <c r="AD35" s="68" t="s">
        <v>995</v>
      </c>
      <c r="AE35" s="73" t="s">
        <v>1104</v>
      </c>
      <c r="AF35" s="68">
        <v>504</v>
      </c>
      <c r="AG35" s="68">
        <v>35342</v>
      </c>
      <c r="AH35" s="68">
        <v>24815</v>
      </c>
      <c r="AI35" s="68">
        <v>630</v>
      </c>
      <c r="AJ35" s="68"/>
      <c r="AK35" s="68" t="s">
        <v>1212</v>
      </c>
      <c r="AL35" s="68" t="s">
        <v>326</v>
      </c>
      <c r="AM35" s="72" t="str">
        <f>HYPERLINK("https://t.co/BFZTt8JDnh")</f>
        <v>https://t.co/BFZTt8JDnh</v>
      </c>
      <c r="AN35" s="68"/>
      <c r="AO35" s="70">
        <v>40305.135405092595</v>
      </c>
      <c r="AP35" s="72" t="str">
        <f>HYPERLINK("https://pbs.twimg.com/profile_banners/141067352/1617773004")</f>
        <v>https://pbs.twimg.com/profile_banners/141067352/1617773004</v>
      </c>
      <c r="AQ35" s="68" t="b">
        <v>0</v>
      </c>
      <c r="AR35" s="68" t="b">
        <v>0</v>
      </c>
      <c r="AS35" s="68" t="b">
        <v>1</v>
      </c>
      <c r="AT35" s="68"/>
      <c r="AU35" s="68">
        <v>283</v>
      </c>
      <c r="AV35" s="72" t="str">
        <f>HYPERLINK("https://abs.twimg.com/images/themes/theme1/bg.png")</f>
        <v>https://abs.twimg.com/images/themes/theme1/bg.png</v>
      </c>
      <c r="AW35" s="68" t="b">
        <v>1</v>
      </c>
      <c r="AX35" s="68" t="s">
        <v>331</v>
      </c>
      <c r="AY35" s="72" t="str">
        <f>HYPERLINK("https://twitter.com/newshubpolitics")</f>
        <v>https://twitter.com/newshubpolitics</v>
      </c>
      <c r="AZ35" s="68" t="s">
        <v>66</v>
      </c>
      <c r="BA35" s="67" t="str">
        <f>REPLACE(INDEX(GroupVertices[Group],MATCH(Vertices[[#This Row],[Vertex]],GroupVertices[Vertex],0)),1,1,"")</f>
        <v>6</v>
      </c>
      <c r="BB35" s="49">
        <v>2</v>
      </c>
      <c r="BC35" s="50">
        <v>5.555555555555555</v>
      </c>
      <c r="BD35" s="49">
        <v>1</v>
      </c>
      <c r="BE35" s="50">
        <v>2.7777777777777777</v>
      </c>
      <c r="BF35" s="49">
        <v>0</v>
      </c>
      <c r="BG35" s="50">
        <v>0</v>
      </c>
      <c r="BH35" s="49">
        <v>33</v>
      </c>
      <c r="BI35" s="50">
        <v>91.66666666666667</v>
      </c>
      <c r="BJ35" s="49">
        <v>36</v>
      </c>
      <c r="BK35" s="49" t="s">
        <v>1740</v>
      </c>
      <c r="BL35" s="49" t="s">
        <v>1740</v>
      </c>
      <c r="BM35" s="49" t="s">
        <v>269</v>
      </c>
      <c r="BN35" s="49" t="s">
        <v>269</v>
      </c>
      <c r="BO35" s="49" t="s">
        <v>714</v>
      </c>
      <c r="BP35" s="49" t="s">
        <v>714</v>
      </c>
      <c r="BQ35" s="92" t="s">
        <v>1929</v>
      </c>
      <c r="BR35" s="92" t="s">
        <v>1958</v>
      </c>
      <c r="BS35" s="92" t="s">
        <v>1864</v>
      </c>
      <c r="BT35" s="92" t="s">
        <v>1997</v>
      </c>
    </row>
    <row r="36" spans="1:72" ht="15">
      <c r="A36" s="66" t="s">
        <v>570</v>
      </c>
      <c r="B36" s="84"/>
      <c r="C36" s="84"/>
      <c r="D36" s="94">
        <v>190</v>
      </c>
      <c r="E36" s="104"/>
      <c r="F36" s="81" t="str">
        <f>HYPERLINK("https://pbs.twimg.com/profile_images/1404655697048981504/O71R3guV_normal.jpg")</f>
        <v>https://pbs.twimg.com/profile_images/1404655697048981504/O71R3guV_normal.jpg</v>
      </c>
      <c r="G36" s="105"/>
      <c r="H36" s="82" t="s">
        <v>570</v>
      </c>
      <c r="I36" s="97"/>
      <c r="J36" s="106"/>
      <c r="K36" s="82" t="s">
        <v>1382</v>
      </c>
      <c r="L36" s="107">
        <v>40.51778656126482</v>
      </c>
      <c r="M36" s="101">
        <v>9183.623046875</v>
      </c>
      <c r="N36" s="101">
        <v>9679.5703125</v>
      </c>
      <c r="O36" s="102"/>
      <c r="P36" s="103"/>
      <c r="Q36" s="103"/>
      <c r="R36" s="108"/>
      <c r="S36" s="49">
        <v>4</v>
      </c>
      <c r="T36" s="49">
        <v>1</v>
      </c>
      <c r="U36" s="50">
        <v>2</v>
      </c>
      <c r="V36" s="50">
        <v>0.034188</v>
      </c>
      <c r="W36" s="50">
        <v>0</v>
      </c>
      <c r="X36" s="50">
        <v>0.008858</v>
      </c>
      <c r="Y36" s="50">
        <v>0.3333333333333333</v>
      </c>
      <c r="Z36" s="50">
        <v>0.25</v>
      </c>
      <c r="AA36" s="98">
        <v>36</v>
      </c>
      <c r="AB36" s="98"/>
      <c r="AC36" s="99"/>
      <c r="AD36" s="68" t="s">
        <v>996</v>
      </c>
      <c r="AE36" s="73" t="s">
        <v>1105</v>
      </c>
      <c r="AF36" s="68">
        <v>1406</v>
      </c>
      <c r="AG36" s="68">
        <v>1109</v>
      </c>
      <c r="AH36" s="68">
        <v>3218</v>
      </c>
      <c r="AI36" s="68">
        <v>27284</v>
      </c>
      <c r="AJ36" s="68"/>
      <c r="AK36" s="68" t="s">
        <v>1213</v>
      </c>
      <c r="AL36" s="68" t="s">
        <v>960</v>
      </c>
      <c r="AM36" s="72" t="str">
        <f>HYPERLINK("https://t.co/HstcrN43Nr")</f>
        <v>https://t.co/HstcrN43Nr</v>
      </c>
      <c r="AN36" s="68"/>
      <c r="AO36" s="70">
        <v>42569.09243055555</v>
      </c>
      <c r="AP36" s="72" t="str">
        <f>HYPERLINK("https://pbs.twimg.com/profile_banners/754861523399430144/1550124140")</f>
        <v>https://pbs.twimg.com/profile_banners/754861523399430144/1550124140</v>
      </c>
      <c r="AQ36" s="68" t="b">
        <v>0</v>
      </c>
      <c r="AR36" s="68" t="b">
        <v>0</v>
      </c>
      <c r="AS36" s="68" t="b">
        <v>1</v>
      </c>
      <c r="AT36" s="68"/>
      <c r="AU36" s="68">
        <v>23</v>
      </c>
      <c r="AV36" s="72" t="str">
        <f>HYPERLINK("https://abs.twimg.com/images/themes/theme1/bg.png")</f>
        <v>https://abs.twimg.com/images/themes/theme1/bg.png</v>
      </c>
      <c r="AW36" s="68" t="b">
        <v>1</v>
      </c>
      <c r="AX36" s="68" t="s">
        <v>331</v>
      </c>
      <c r="AY36" s="72" t="str">
        <f>HYPERLINK("https://twitter.com/jamieensor")</f>
        <v>https://twitter.com/jamieensor</v>
      </c>
      <c r="AZ36" s="68" t="s">
        <v>66</v>
      </c>
      <c r="BA36" s="67" t="str">
        <f>REPLACE(INDEX(GroupVertices[Group],MATCH(Vertices[[#This Row],[Vertex]],GroupVertices[Vertex],0)),1,1,"")</f>
        <v>6</v>
      </c>
      <c r="BB36" s="49">
        <v>1</v>
      </c>
      <c r="BC36" s="50">
        <v>4.761904761904762</v>
      </c>
      <c r="BD36" s="49">
        <v>1</v>
      </c>
      <c r="BE36" s="50">
        <v>4.761904761904762</v>
      </c>
      <c r="BF36" s="49">
        <v>0</v>
      </c>
      <c r="BG36" s="50">
        <v>0</v>
      </c>
      <c r="BH36" s="49">
        <v>19</v>
      </c>
      <c r="BI36" s="50">
        <v>90.47619047619048</v>
      </c>
      <c r="BJ36" s="49">
        <v>21</v>
      </c>
      <c r="BK36" s="49" t="s">
        <v>1708</v>
      </c>
      <c r="BL36" s="49" t="s">
        <v>1708</v>
      </c>
      <c r="BM36" s="49" t="s">
        <v>269</v>
      </c>
      <c r="BN36" s="49" t="s">
        <v>269</v>
      </c>
      <c r="BO36" s="49" t="s">
        <v>714</v>
      </c>
      <c r="BP36" s="49" t="s">
        <v>714</v>
      </c>
      <c r="BQ36" s="92" t="s">
        <v>1930</v>
      </c>
      <c r="BR36" s="92" t="s">
        <v>1930</v>
      </c>
      <c r="BS36" s="92" t="s">
        <v>1973</v>
      </c>
      <c r="BT36" s="92" t="s">
        <v>1973</v>
      </c>
    </row>
    <row r="37" spans="1:72" ht="15">
      <c r="A37" s="66" t="s">
        <v>569</v>
      </c>
      <c r="B37" s="84"/>
      <c r="C37" s="84"/>
      <c r="D37" s="94">
        <v>190</v>
      </c>
      <c r="E37" s="104"/>
      <c r="F37" s="81" t="str">
        <f>HYPERLINK("https://pbs.twimg.com/profile_images/969418395182555136/ssvz_qTA_normal.jpg")</f>
        <v>https://pbs.twimg.com/profile_images/969418395182555136/ssvz_qTA_normal.jpg</v>
      </c>
      <c r="G37" s="105"/>
      <c r="H37" s="82" t="s">
        <v>569</v>
      </c>
      <c r="I37" s="97"/>
      <c r="J37" s="106"/>
      <c r="K37" s="82" t="s">
        <v>1383</v>
      </c>
      <c r="L37" s="107">
        <v>40.51778656126482</v>
      </c>
      <c r="M37" s="101">
        <v>9178.345703125</v>
      </c>
      <c r="N37" s="101">
        <v>7182.11767578125</v>
      </c>
      <c r="O37" s="102"/>
      <c r="P37" s="103"/>
      <c r="Q37" s="103"/>
      <c r="R37" s="108"/>
      <c r="S37" s="49">
        <v>4</v>
      </c>
      <c r="T37" s="49">
        <v>1</v>
      </c>
      <c r="U37" s="50">
        <v>2</v>
      </c>
      <c r="V37" s="50">
        <v>0.034188</v>
      </c>
      <c r="W37" s="50">
        <v>0</v>
      </c>
      <c r="X37" s="50">
        <v>0.008858</v>
      </c>
      <c r="Y37" s="50">
        <v>0.3333333333333333</v>
      </c>
      <c r="Z37" s="50">
        <v>0.25</v>
      </c>
      <c r="AA37" s="98">
        <v>37</v>
      </c>
      <c r="AB37" s="98"/>
      <c r="AC37" s="99"/>
      <c r="AD37" s="68" t="s">
        <v>997</v>
      </c>
      <c r="AE37" s="73" t="s">
        <v>1106</v>
      </c>
      <c r="AF37" s="68">
        <v>85</v>
      </c>
      <c r="AG37" s="68">
        <v>80396</v>
      </c>
      <c r="AH37" s="68">
        <v>34647</v>
      </c>
      <c r="AI37" s="68">
        <v>0</v>
      </c>
      <c r="AJ37" s="68"/>
      <c r="AK37" s="68" t="s">
        <v>1214</v>
      </c>
      <c r="AL37" s="68" t="s">
        <v>326</v>
      </c>
      <c r="AM37" s="72" t="str">
        <f>HYPERLINK("https://t.co/BFZTt8JDnh")</f>
        <v>https://t.co/BFZTt8JDnh</v>
      </c>
      <c r="AN37" s="68"/>
      <c r="AO37" s="70">
        <v>39803.95248842592</v>
      </c>
      <c r="AP37" s="72" t="str">
        <f>HYPERLINK("https://pbs.twimg.com/profile_banners/18294703/1617772879")</f>
        <v>https://pbs.twimg.com/profile_banners/18294703/1617772879</v>
      </c>
      <c r="AQ37" s="68" t="b">
        <v>0</v>
      </c>
      <c r="AR37" s="68" t="b">
        <v>0</v>
      </c>
      <c r="AS37" s="68" t="b">
        <v>0</v>
      </c>
      <c r="AT37" s="68"/>
      <c r="AU37" s="68">
        <v>626</v>
      </c>
      <c r="AV37" s="72" t="str">
        <f>HYPERLINK("https://abs.twimg.com/images/themes/theme1/bg.png")</f>
        <v>https://abs.twimg.com/images/themes/theme1/bg.png</v>
      </c>
      <c r="AW37" s="68" t="b">
        <v>1</v>
      </c>
      <c r="AX37" s="68" t="s">
        <v>331</v>
      </c>
      <c r="AY37" s="72" t="str">
        <f>HYPERLINK("https://twitter.com/newshubbreaking")</f>
        <v>https://twitter.com/newshubbreaking</v>
      </c>
      <c r="AZ37" s="68" t="s">
        <v>66</v>
      </c>
      <c r="BA37" s="67" t="str">
        <f>REPLACE(INDEX(GroupVertices[Group],MATCH(Vertices[[#This Row],[Vertex]],GroupVertices[Vertex],0)),1,1,"")</f>
        <v>6</v>
      </c>
      <c r="BB37" s="49">
        <v>1</v>
      </c>
      <c r="BC37" s="50">
        <v>4.761904761904762</v>
      </c>
      <c r="BD37" s="49">
        <v>1</v>
      </c>
      <c r="BE37" s="50">
        <v>4.761904761904762</v>
      </c>
      <c r="BF37" s="49">
        <v>0</v>
      </c>
      <c r="BG37" s="50">
        <v>0</v>
      </c>
      <c r="BH37" s="49">
        <v>19</v>
      </c>
      <c r="BI37" s="50">
        <v>90.47619047619048</v>
      </c>
      <c r="BJ37" s="49">
        <v>21</v>
      </c>
      <c r="BK37" s="49" t="s">
        <v>1708</v>
      </c>
      <c r="BL37" s="49" t="s">
        <v>1708</v>
      </c>
      <c r="BM37" s="49" t="s">
        <v>269</v>
      </c>
      <c r="BN37" s="49" t="s">
        <v>269</v>
      </c>
      <c r="BO37" s="49" t="s">
        <v>714</v>
      </c>
      <c r="BP37" s="49" t="s">
        <v>714</v>
      </c>
      <c r="BQ37" s="92" t="s">
        <v>1930</v>
      </c>
      <c r="BR37" s="92" t="s">
        <v>1930</v>
      </c>
      <c r="BS37" s="92" t="s">
        <v>1973</v>
      </c>
      <c r="BT37" s="92" t="s">
        <v>1973</v>
      </c>
    </row>
    <row r="38" spans="1:72" ht="15">
      <c r="A38" s="66" t="s">
        <v>568</v>
      </c>
      <c r="B38" s="84"/>
      <c r="C38" s="84"/>
      <c r="D38" s="94">
        <v>100</v>
      </c>
      <c r="E38" s="104"/>
      <c r="F38" s="81" t="str">
        <f>HYPERLINK("https://pbs.twimg.com/profile_images/1112640037278015489/NgrI1YcO_normal.png")</f>
        <v>https://pbs.twimg.com/profile_images/1112640037278015489/NgrI1YcO_normal.png</v>
      </c>
      <c r="G38" s="105"/>
      <c r="H38" s="82" t="s">
        <v>568</v>
      </c>
      <c r="I38" s="97"/>
      <c r="J38" s="106"/>
      <c r="K38" s="82" t="s">
        <v>1384</v>
      </c>
      <c r="L38" s="107">
        <v>1</v>
      </c>
      <c r="M38" s="101">
        <v>8558.4658203125</v>
      </c>
      <c r="N38" s="101">
        <v>7151.7509765625</v>
      </c>
      <c r="O38" s="102"/>
      <c r="P38" s="103"/>
      <c r="Q38" s="103"/>
      <c r="R38" s="108"/>
      <c r="S38" s="49">
        <v>0</v>
      </c>
      <c r="T38" s="49">
        <v>3</v>
      </c>
      <c r="U38" s="50">
        <v>0</v>
      </c>
      <c r="V38" s="50">
        <v>0.02735</v>
      </c>
      <c r="W38" s="50">
        <v>0</v>
      </c>
      <c r="X38" s="50">
        <v>0.00819</v>
      </c>
      <c r="Y38" s="50">
        <v>0.6666666666666666</v>
      </c>
      <c r="Z38" s="50">
        <v>0</v>
      </c>
      <c r="AA38" s="98">
        <v>38</v>
      </c>
      <c r="AB38" s="98"/>
      <c r="AC38" s="99"/>
      <c r="AD38" s="68" t="s">
        <v>998</v>
      </c>
      <c r="AE38" s="73" t="s">
        <v>1107</v>
      </c>
      <c r="AF38" s="68">
        <v>2012</v>
      </c>
      <c r="AG38" s="68">
        <v>113500</v>
      </c>
      <c r="AH38" s="68">
        <v>188214</v>
      </c>
      <c r="AI38" s="68">
        <v>1267</v>
      </c>
      <c r="AJ38" s="68"/>
      <c r="AK38" s="68" t="s">
        <v>1215</v>
      </c>
      <c r="AL38" s="68" t="s">
        <v>326</v>
      </c>
      <c r="AM38" s="72" t="str">
        <f>HYPERLINK("https://t.co/CyHFIEX9Qt")</f>
        <v>https://t.co/CyHFIEX9Qt</v>
      </c>
      <c r="AN38" s="68"/>
      <c r="AO38" s="70">
        <v>40695.93387731481</v>
      </c>
      <c r="AP38" s="72" t="str">
        <f>HYPERLINK("https://pbs.twimg.com/profile_banners/309325348/1647420890")</f>
        <v>https://pbs.twimg.com/profile_banners/309325348/1647420890</v>
      </c>
      <c r="AQ38" s="68" t="b">
        <v>0</v>
      </c>
      <c r="AR38" s="68" t="b">
        <v>0</v>
      </c>
      <c r="AS38" s="68" t="b">
        <v>1</v>
      </c>
      <c r="AT38" s="68"/>
      <c r="AU38" s="68">
        <v>682</v>
      </c>
      <c r="AV38" s="72" t="str">
        <f>HYPERLINK("https://abs.twimg.com/images/themes/theme1/bg.png")</f>
        <v>https://abs.twimg.com/images/themes/theme1/bg.png</v>
      </c>
      <c r="AW38" s="68" t="b">
        <v>1</v>
      </c>
      <c r="AX38" s="68" t="s">
        <v>331</v>
      </c>
      <c r="AY38" s="72" t="str">
        <f>HYPERLINK("https://twitter.com/newshubnz")</f>
        <v>https://twitter.com/newshubnz</v>
      </c>
      <c r="AZ38" s="68" t="s">
        <v>66</v>
      </c>
      <c r="BA38" s="67" t="str">
        <f>REPLACE(INDEX(GroupVertices[Group],MATCH(Vertices[[#This Row],[Vertex]],GroupVertices[Vertex],0)),1,1,"")</f>
        <v>6</v>
      </c>
      <c r="BB38" s="49">
        <v>2</v>
      </c>
      <c r="BC38" s="50">
        <v>5.555555555555555</v>
      </c>
      <c r="BD38" s="49">
        <v>1</v>
      </c>
      <c r="BE38" s="50">
        <v>2.7777777777777777</v>
      </c>
      <c r="BF38" s="49">
        <v>0</v>
      </c>
      <c r="BG38" s="50">
        <v>0</v>
      </c>
      <c r="BH38" s="49">
        <v>33</v>
      </c>
      <c r="BI38" s="50">
        <v>91.66666666666667</v>
      </c>
      <c r="BJ38" s="49">
        <v>36</v>
      </c>
      <c r="BK38" s="49" t="s">
        <v>1740</v>
      </c>
      <c r="BL38" s="49" t="s">
        <v>1740</v>
      </c>
      <c r="BM38" s="49" t="s">
        <v>269</v>
      </c>
      <c r="BN38" s="49" t="s">
        <v>269</v>
      </c>
      <c r="BO38" s="49" t="s">
        <v>714</v>
      </c>
      <c r="BP38" s="49" t="s">
        <v>714</v>
      </c>
      <c r="BQ38" s="92" t="s">
        <v>1929</v>
      </c>
      <c r="BR38" s="92" t="s">
        <v>1958</v>
      </c>
      <c r="BS38" s="92" t="s">
        <v>1864</v>
      </c>
      <c r="BT38" s="92" t="s">
        <v>1997</v>
      </c>
    </row>
    <row r="39" spans="1:72" ht="15">
      <c r="A39" s="66" t="s">
        <v>571</v>
      </c>
      <c r="B39" s="84"/>
      <c r="C39" s="84"/>
      <c r="D39" s="94">
        <v>100</v>
      </c>
      <c r="E39" s="104"/>
      <c r="F39" s="81" t="str">
        <f>HYPERLINK("https://pbs.twimg.com/profile_images/1323418755829886976/B1Xeq0XK_normal.jpg")</f>
        <v>https://pbs.twimg.com/profile_images/1323418755829886976/B1Xeq0XK_normal.jpg</v>
      </c>
      <c r="G39" s="105"/>
      <c r="H39" s="82" t="s">
        <v>571</v>
      </c>
      <c r="I39" s="97"/>
      <c r="J39" s="106"/>
      <c r="K39" s="82" t="s">
        <v>1385</v>
      </c>
      <c r="L39" s="107">
        <v>1</v>
      </c>
      <c r="M39" s="101">
        <v>9832.3505859375</v>
      </c>
      <c r="N39" s="101">
        <v>8411.3115234375</v>
      </c>
      <c r="O39" s="102"/>
      <c r="P39" s="103"/>
      <c r="Q39" s="103"/>
      <c r="R39" s="108"/>
      <c r="S39" s="49">
        <v>0</v>
      </c>
      <c r="T39" s="49">
        <v>2</v>
      </c>
      <c r="U39" s="50">
        <v>0</v>
      </c>
      <c r="V39" s="50">
        <v>0.022792</v>
      </c>
      <c r="W39" s="50">
        <v>0</v>
      </c>
      <c r="X39" s="50">
        <v>0.007868</v>
      </c>
      <c r="Y39" s="50">
        <v>1</v>
      </c>
      <c r="Z39" s="50">
        <v>0</v>
      </c>
      <c r="AA39" s="98">
        <v>39</v>
      </c>
      <c r="AB39" s="98"/>
      <c r="AC39" s="99"/>
      <c r="AD39" s="68" t="s">
        <v>999</v>
      </c>
      <c r="AE39" s="73" t="s">
        <v>1108</v>
      </c>
      <c r="AF39" s="68">
        <v>271</v>
      </c>
      <c r="AG39" s="68">
        <v>446</v>
      </c>
      <c r="AH39" s="68">
        <v>115976</v>
      </c>
      <c r="AI39" s="68">
        <v>156238</v>
      </c>
      <c r="AJ39" s="68"/>
      <c r="AK39" s="68" t="s">
        <v>1216</v>
      </c>
      <c r="AL39" s="68"/>
      <c r="AM39" s="68"/>
      <c r="AN39" s="68"/>
      <c r="AO39" s="70">
        <v>42473.93543981481</v>
      </c>
      <c r="AP39" s="72" t="str">
        <f>HYPERLINK("https://pbs.twimg.com/profile_banners/720377783415758853/1604362625")</f>
        <v>https://pbs.twimg.com/profile_banners/720377783415758853/1604362625</v>
      </c>
      <c r="AQ39" s="68" t="b">
        <v>1</v>
      </c>
      <c r="AR39" s="68" t="b">
        <v>0</v>
      </c>
      <c r="AS39" s="68" t="b">
        <v>0</v>
      </c>
      <c r="AT39" s="68"/>
      <c r="AU39" s="68">
        <v>2</v>
      </c>
      <c r="AV39" s="68"/>
      <c r="AW39" s="68" t="b">
        <v>0</v>
      </c>
      <c r="AX39" s="68" t="s">
        <v>331</v>
      </c>
      <c r="AY39" s="72" t="str">
        <f>HYPERLINK("https://twitter.com/nichols_lindy")</f>
        <v>https://twitter.com/nichols_lindy</v>
      </c>
      <c r="AZ39" s="68" t="s">
        <v>66</v>
      </c>
      <c r="BA39" s="67" t="str">
        <f>REPLACE(INDEX(GroupVertices[Group],MATCH(Vertices[[#This Row],[Vertex]],GroupVertices[Vertex],0)),1,1,"")</f>
        <v>6</v>
      </c>
      <c r="BB39" s="49">
        <v>1</v>
      </c>
      <c r="BC39" s="50">
        <v>4.761904761904762</v>
      </c>
      <c r="BD39" s="49">
        <v>1</v>
      </c>
      <c r="BE39" s="50">
        <v>4.761904761904762</v>
      </c>
      <c r="BF39" s="49">
        <v>0</v>
      </c>
      <c r="BG39" s="50">
        <v>0</v>
      </c>
      <c r="BH39" s="49">
        <v>19</v>
      </c>
      <c r="BI39" s="50">
        <v>90.47619047619048</v>
      </c>
      <c r="BJ39" s="49">
        <v>21</v>
      </c>
      <c r="BK39" s="49" t="s">
        <v>1708</v>
      </c>
      <c r="BL39" s="49" t="s">
        <v>1708</v>
      </c>
      <c r="BM39" s="49" t="s">
        <v>269</v>
      </c>
      <c r="BN39" s="49" t="s">
        <v>269</v>
      </c>
      <c r="BO39" s="49" t="s">
        <v>714</v>
      </c>
      <c r="BP39" s="49" t="s">
        <v>714</v>
      </c>
      <c r="BQ39" s="92" t="s">
        <v>1930</v>
      </c>
      <c r="BR39" s="92" t="s">
        <v>1930</v>
      </c>
      <c r="BS39" s="92" t="s">
        <v>1973</v>
      </c>
      <c r="BT39" s="92" t="s">
        <v>1973</v>
      </c>
    </row>
    <row r="40" spans="1:72" ht="15">
      <c r="A40" s="66" t="s">
        <v>572</v>
      </c>
      <c r="B40" s="84"/>
      <c r="C40" s="84"/>
      <c r="D40" s="94">
        <v>100</v>
      </c>
      <c r="E40" s="104"/>
      <c r="F40" s="81" t="str">
        <f>HYPERLINK("https://pbs.twimg.com/profile_images/1260365561910812672/BIg_dVBW_normal.jpg")</f>
        <v>https://pbs.twimg.com/profile_images/1260365561910812672/BIg_dVBW_normal.jpg</v>
      </c>
      <c r="G40" s="105"/>
      <c r="H40" s="82" t="s">
        <v>572</v>
      </c>
      <c r="I40" s="97"/>
      <c r="J40" s="106"/>
      <c r="K40" s="82" t="s">
        <v>1386</v>
      </c>
      <c r="L40" s="107">
        <v>1</v>
      </c>
      <c r="M40" s="101">
        <v>3652.734375</v>
      </c>
      <c r="N40" s="101">
        <v>7819.4541015625</v>
      </c>
      <c r="O40" s="102"/>
      <c r="P40" s="103"/>
      <c r="Q40" s="103"/>
      <c r="R40" s="108"/>
      <c r="S40" s="49">
        <v>0</v>
      </c>
      <c r="T40" s="49">
        <v>1</v>
      </c>
      <c r="U40" s="50">
        <v>0</v>
      </c>
      <c r="V40" s="50">
        <v>0.100475</v>
      </c>
      <c r="W40" s="50">
        <v>0.138558</v>
      </c>
      <c r="X40" s="50">
        <v>0.007406</v>
      </c>
      <c r="Y40" s="50">
        <v>0</v>
      </c>
      <c r="Z40" s="50">
        <v>0</v>
      </c>
      <c r="AA40" s="98">
        <v>40</v>
      </c>
      <c r="AB40" s="98"/>
      <c r="AC40" s="99"/>
      <c r="AD40" s="68" t="s">
        <v>1000</v>
      </c>
      <c r="AE40" s="73" t="s">
        <v>1109</v>
      </c>
      <c r="AF40" s="68">
        <v>1730</v>
      </c>
      <c r="AG40" s="68">
        <v>60815</v>
      </c>
      <c r="AH40" s="68">
        <v>24663</v>
      </c>
      <c r="AI40" s="68">
        <v>13391</v>
      </c>
      <c r="AJ40" s="68"/>
      <c r="AK40" s="68" t="s">
        <v>1217</v>
      </c>
      <c r="AL40" s="68" t="s">
        <v>1311</v>
      </c>
      <c r="AM40" s="72" t="str">
        <f>HYPERLINK("https://t.co/wQGvUHOTGT")</f>
        <v>https://t.co/wQGvUHOTGT</v>
      </c>
      <c r="AN40" s="68"/>
      <c r="AO40" s="70">
        <v>39853.37769675926</v>
      </c>
      <c r="AP40" s="72" t="str">
        <f>HYPERLINK("https://pbs.twimg.com/profile_banners/20424235/1603161228")</f>
        <v>https://pbs.twimg.com/profile_banners/20424235/1603161228</v>
      </c>
      <c r="AQ40" s="68" t="b">
        <v>0</v>
      </c>
      <c r="AR40" s="68" t="b">
        <v>0</v>
      </c>
      <c r="AS40" s="68" t="b">
        <v>1</v>
      </c>
      <c r="AT40" s="68"/>
      <c r="AU40" s="68">
        <v>565</v>
      </c>
      <c r="AV40" s="72" t="str">
        <f>HYPERLINK("https://abs.twimg.com/images/themes/theme5/bg.gif")</f>
        <v>https://abs.twimg.com/images/themes/theme5/bg.gif</v>
      </c>
      <c r="AW40" s="68" t="b">
        <v>1</v>
      </c>
      <c r="AX40" s="68" t="s">
        <v>331</v>
      </c>
      <c r="AY40" s="72" t="str">
        <f>HYPERLINK("https://twitter.com/nzgreens")</f>
        <v>https://twitter.com/nzgreens</v>
      </c>
      <c r="AZ40" s="68" t="s">
        <v>66</v>
      </c>
      <c r="BA40" s="67" t="str">
        <f>REPLACE(INDEX(GroupVertices[Group],MATCH(Vertices[[#This Row],[Vertex]],GroupVertices[Vertex],0)),1,1,"")</f>
        <v>1</v>
      </c>
      <c r="BB40" s="49">
        <v>1</v>
      </c>
      <c r="BC40" s="50">
        <v>2.272727272727273</v>
      </c>
      <c r="BD40" s="49">
        <v>0</v>
      </c>
      <c r="BE40" s="50">
        <v>0</v>
      </c>
      <c r="BF40" s="49">
        <v>0</v>
      </c>
      <c r="BG40" s="50">
        <v>0</v>
      </c>
      <c r="BH40" s="49">
        <v>43</v>
      </c>
      <c r="BI40" s="50">
        <v>97.72727272727273</v>
      </c>
      <c r="BJ40" s="49">
        <v>44</v>
      </c>
      <c r="BK40" s="49"/>
      <c r="BL40" s="49"/>
      <c r="BM40" s="49"/>
      <c r="BN40" s="49"/>
      <c r="BO40" s="49"/>
      <c r="BP40" s="49"/>
      <c r="BQ40" s="92" t="s">
        <v>1931</v>
      </c>
      <c r="BR40" s="92" t="s">
        <v>1931</v>
      </c>
      <c r="BS40" s="92" t="s">
        <v>1974</v>
      </c>
      <c r="BT40" s="92" t="s">
        <v>1974</v>
      </c>
    </row>
    <row r="41" spans="1:72" ht="15">
      <c r="A41" s="66" t="s">
        <v>629</v>
      </c>
      <c r="B41" s="84"/>
      <c r="C41" s="84"/>
      <c r="D41" s="94">
        <v>1000</v>
      </c>
      <c r="E41" s="104"/>
      <c r="F41" s="81" t="str">
        <f>HYPERLINK("https://pbs.twimg.com/profile_images/1136501773735157762/mIzrKmoN_normal.jpg")</f>
        <v>https://pbs.twimg.com/profile_images/1136501773735157762/mIzrKmoN_normal.jpg</v>
      </c>
      <c r="G41" s="105"/>
      <c r="H41" s="82" t="s">
        <v>629</v>
      </c>
      <c r="I41" s="97"/>
      <c r="J41" s="106"/>
      <c r="K41" s="82" t="s">
        <v>1387</v>
      </c>
      <c r="L41" s="107">
        <v>9999</v>
      </c>
      <c r="M41" s="101">
        <v>1916.8076171875</v>
      </c>
      <c r="N41" s="101">
        <v>7244.9765625</v>
      </c>
      <c r="O41" s="102"/>
      <c r="P41" s="103"/>
      <c r="Q41" s="103"/>
      <c r="R41" s="108"/>
      <c r="S41" s="49">
        <v>24</v>
      </c>
      <c r="T41" s="49">
        <v>1</v>
      </c>
      <c r="U41" s="50">
        <v>506</v>
      </c>
      <c r="V41" s="50">
        <v>0.196581</v>
      </c>
      <c r="W41" s="50">
        <v>0.740666</v>
      </c>
      <c r="X41" s="50">
        <v>0.032448</v>
      </c>
      <c r="Y41" s="50">
        <v>0</v>
      </c>
      <c r="Z41" s="50">
        <v>0</v>
      </c>
      <c r="AA41" s="98">
        <v>41</v>
      </c>
      <c r="AB41" s="98"/>
      <c r="AC41" s="99"/>
      <c r="AD41" s="68" t="s">
        <v>1001</v>
      </c>
      <c r="AE41" s="73" t="s">
        <v>1110</v>
      </c>
      <c r="AF41" s="68">
        <v>997</v>
      </c>
      <c r="AG41" s="68">
        <v>4956</v>
      </c>
      <c r="AH41" s="68">
        <v>8751</v>
      </c>
      <c r="AI41" s="68">
        <v>52634</v>
      </c>
      <c r="AJ41" s="68"/>
      <c r="AK41" s="68" t="s">
        <v>1218</v>
      </c>
      <c r="AL41" s="68" t="s">
        <v>1312</v>
      </c>
      <c r="AM41" s="72" t="str">
        <f>HYPERLINK("https://t.co/77Q7W2MmyY")</f>
        <v>https://t.co/77Q7W2MmyY</v>
      </c>
      <c r="AN41" s="68"/>
      <c r="AO41" s="70">
        <v>39837.533530092594</v>
      </c>
      <c r="AP41" s="72" t="str">
        <f>HYPERLINK("https://pbs.twimg.com/profile_banners/19444677/1559798113")</f>
        <v>https://pbs.twimg.com/profile_banners/19444677/1559798113</v>
      </c>
      <c r="AQ41" s="68" t="b">
        <v>0</v>
      </c>
      <c r="AR41" s="68" t="b">
        <v>0</v>
      </c>
      <c r="AS41" s="68" t="b">
        <v>1</v>
      </c>
      <c r="AT41" s="68"/>
      <c r="AU41" s="68">
        <v>103</v>
      </c>
      <c r="AV41" s="72" t="str">
        <f>HYPERLINK("https://abs.twimg.com/images/themes/theme9/bg.gif")</f>
        <v>https://abs.twimg.com/images/themes/theme9/bg.gif</v>
      </c>
      <c r="AW41" s="68" t="b">
        <v>0</v>
      </c>
      <c r="AX41" s="68" t="s">
        <v>331</v>
      </c>
      <c r="AY41" s="72" t="str">
        <f>HYPERLINK("https://twitter.com/nashthomas")</f>
        <v>https://twitter.com/nashthomas</v>
      </c>
      <c r="AZ41" s="68" t="s">
        <v>66</v>
      </c>
      <c r="BA41" s="67" t="str">
        <f>REPLACE(INDEX(GroupVertices[Group],MATCH(Vertices[[#This Row],[Vertex]],GroupVertices[Vertex],0)),1,1,"")</f>
        <v>1</v>
      </c>
      <c r="BB41" s="49">
        <v>3</v>
      </c>
      <c r="BC41" s="50">
        <v>3.1914893617021276</v>
      </c>
      <c r="BD41" s="49">
        <v>0</v>
      </c>
      <c r="BE41" s="50">
        <v>0</v>
      </c>
      <c r="BF41" s="49">
        <v>0</v>
      </c>
      <c r="BG41" s="50">
        <v>0</v>
      </c>
      <c r="BH41" s="49">
        <v>91</v>
      </c>
      <c r="BI41" s="50">
        <v>96.80851063829788</v>
      </c>
      <c r="BJ41" s="49">
        <v>94</v>
      </c>
      <c r="BK41" s="49"/>
      <c r="BL41" s="49"/>
      <c r="BM41" s="49"/>
      <c r="BN41" s="49"/>
      <c r="BO41" s="49"/>
      <c r="BP41" s="49"/>
      <c r="BQ41" s="92" t="s">
        <v>1932</v>
      </c>
      <c r="BR41" s="92" t="s">
        <v>1959</v>
      </c>
      <c r="BS41" s="92" t="s">
        <v>1859</v>
      </c>
      <c r="BT41" s="92" t="s">
        <v>1998</v>
      </c>
    </row>
    <row r="42" spans="1:72" ht="15">
      <c r="A42" s="66" t="s">
        <v>573</v>
      </c>
      <c r="B42" s="84"/>
      <c r="C42" s="84"/>
      <c r="D42" s="94">
        <v>100</v>
      </c>
      <c r="E42" s="104"/>
      <c r="F42" s="81" t="str">
        <f>HYPERLINK("https://pbs.twimg.com/profile_images/1523187870848090112/CTQh35SM_normal.jpg")</f>
        <v>https://pbs.twimg.com/profile_images/1523187870848090112/CTQh35SM_normal.jpg</v>
      </c>
      <c r="G42" s="105"/>
      <c r="H42" s="82" t="s">
        <v>573</v>
      </c>
      <c r="I42" s="97"/>
      <c r="J42" s="106"/>
      <c r="K42" s="82" t="s">
        <v>1388</v>
      </c>
      <c r="L42" s="107">
        <v>1</v>
      </c>
      <c r="M42" s="101">
        <v>166.65000915527344</v>
      </c>
      <c r="N42" s="101">
        <v>7310.17724609375</v>
      </c>
      <c r="O42" s="102"/>
      <c r="P42" s="103"/>
      <c r="Q42" s="103"/>
      <c r="R42" s="108"/>
      <c r="S42" s="49">
        <v>0</v>
      </c>
      <c r="T42" s="49">
        <v>1</v>
      </c>
      <c r="U42" s="50">
        <v>0</v>
      </c>
      <c r="V42" s="50">
        <v>0.100475</v>
      </c>
      <c r="W42" s="50">
        <v>0.138558</v>
      </c>
      <c r="X42" s="50">
        <v>0.007406</v>
      </c>
      <c r="Y42" s="50">
        <v>0</v>
      </c>
      <c r="Z42" s="50">
        <v>0</v>
      </c>
      <c r="AA42" s="98">
        <v>42</v>
      </c>
      <c r="AB42" s="98"/>
      <c r="AC42" s="99"/>
      <c r="AD42" s="68" t="s">
        <v>1002</v>
      </c>
      <c r="AE42" s="73" t="s">
        <v>1111</v>
      </c>
      <c r="AF42" s="68">
        <v>1474</v>
      </c>
      <c r="AG42" s="68">
        <v>2296</v>
      </c>
      <c r="AH42" s="68">
        <v>11344</v>
      </c>
      <c r="AI42" s="68">
        <v>76368</v>
      </c>
      <c r="AJ42" s="68"/>
      <c r="AK42" s="68" t="s">
        <v>1219</v>
      </c>
      <c r="AL42" s="68" t="s">
        <v>1313</v>
      </c>
      <c r="AM42" s="68"/>
      <c r="AN42" s="68"/>
      <c r="AO42" s="70">
        <v>42537.33907407407</v>
      </c>
      <c r="AP42" s="72" t="str">
        <f>HYPERLINK("https://pbs.twimg.com/profile_banners/743354491274039296/1625989784")</f>
        <v>https://pbs.twimg.com/profile_banners/743354491274039296/1625989784</v>
      </c>
      <c r="AQ42" s="68" t="b">
        <v>0</v>
      </c>
      <c r="AR42" s="68" t="b">
        <v>0</v>
      </c>
      <c r="AS42" s="68" t="b">
        <v>1</v>
      </c>
      <c r="AT42" s="68"/>
      <c r="AU42" s="68">
        <v>8</v>
      </c>
      <c r="AV42" s="72" t="str">
        <f>HYPERLINK("https://abs.twimg.com/images/themes/theme1/bg.png")</f>
        <v>https://abs.twimg.com/images/themes/theme1/bg.png</v>
      </c>
      <c r="AW42" s="68" t="b">
        <v>0</v>
      </c>
      <c r="AX42" s="68" t="s">
        <v>331</v>
      </c>
      <c r="AY42" s="72" t="str">
        <f>HYPERLINK("https://twitter.com/pearlwendyl")</f>
        <v>https://twitter.com/pearlwendyl</v>
      </c>
      <c r="AZ42" s="68" t="s">
        <v>66</v>
      </c>
      <c r="BA42" s="67" t="str">
        <f>REPLACE(INDEX(GroupVertices[Group],MATCH(Vertices[[#This Row],[Vertex]],GroupVertices[Vertex],0)),1,1,"")</f>
        <v>1</v>
      </c>
      <c r="BB42" s="49">
        <v>1</v>
      </c>
      <c r="BC42" s="50">
        <v>2.272727272727273</v>
      </c>
      <c r="BD42" s="49">
        <v>0</v>
      </c>
      <c r="BE42" s="50">
        <v>0</v>
      </c>
      <c r="BF42" s="49">
        <v>0</v>
      </c>
      <c r="BG42" s="50">
        <v>0</v>
      </c>
      <c r="BH42" s="49">
        <v>43</v>
      </c>
      <c r="BI42" s="50">
        <v>97.72727272727273</v>
      </c>
      <c r="BJ42" s="49">
        <v>44</v>
      </c>
      <c r="BK42" s="49"/>
      <c r="BL42" s="49"/>
      <c r="BM42" s="49"/>
      <c r="BN42" s="49"/>
      <c r="BO42" s="49"/>
      <c r="BP42" s="49"/>
      <c r="BQ42" s="92" t="s">
        <v>1931</v>
      </c>
      <c r="BR42" s="92" t="s">
        <v>1931</v>
      </c>
      <c r="BS42" s="92" t="s">
        <v>1974</v>
      </c>
      <c r="BT42" s="92" t="s">
        <v>1974</v>
      </c>
    </row>
    <row r="43" spans="1:72" ht="15">
      <c r="A43" s="66" t="s">
        <v>574</v>
      </c>
      <c r="B43" s="84"/>
      <c r="C43" s="84"/>
      <c r="D43" s="94">
        <v>100</v>
      </c>
      <c r="E43" s="104"/>
      <c r="F43" s="81" t="str">
        <f>HYPERLINK("https://pbs.twimg.com/profile_images/1455124671066611716/bvFYhuO-_normal.jpg")</f>
        <v>https://pbs.twimg.com/profile_images/1455124671066611716/bvFYhuO-_normal.jpg</v>
      </c>
      <c r="G43" s="105"/>
      <c r="H43" s="82" t="s">
        <v>574</v>
      </c>
      <c r="I43" s="97"/>
      <c r="J43" s="106"/>
      <c r="K43" s="82" t="s">
        <v>1389</v>
      </c>
      <c r="L43" s="107">
        <v>1</v>
      </c>
      <c r="M43" s="101">
        <v>261.41058349609375</v>
      </c>
      <c r="N43" s="101">
        <v>6343.37646484375</v>
      </c>
      <c r="O43" s="102"/>
      <c r="P43" s="103"/>
      <c r="Q43" s="103"/>
      <c r="R43" s="108"/>
      <c r="S43" s="49">
        <v>0</v>
      </c>
      <c r="T43" s="49">
        <v>1</v>
      </c>
      <c r="U43" s="50">
        <v>0</v>
      </c>
      <c r="V43" s="50">
        <v>0.100475</v>
      </c>
      <c r="W43" s="50">
        <v>0.138558</v>
      </c>
      <c r="X43" s="50">
        <v>0.007406</v>
      </c>
      <c r="Y43" s="50">
        <v>0</v>
      </c>
      <c r="Z43" s="50">
        <v>0</v>
      </c>
      <c r="AA43" s="98">
        <v>43</v>
      </c>
      <c r="AB43" s="98"/>
      <c r="AC43" s="99"/>
      <c r="AD43" s="68" t="s">
        <v>1003</v>
      </c>
      <c r="AE43" s="73" t="s">
        <v>1112</v>
      </c>
      <c r="AF43" s="68">
        <v>1724</v>
      </c>
      <c r="AG43" s="68">
        <v>814</v>
      </c>
      <c r="AH43" s="68">
        <v>6072</v>
      </c>
      <c r="AI43" s="68">
        <v>27519</v>
      </c>
      <c r="AJ43" s="68"/>
      <c r="AK43" s="68" t="s">
        <v>1220</v>
      </c>
      <c r="AL43" s="68" t="s">
        <v>1314</v>
      </c>
      <c r="AM43" s="68"/>
      <c r="AN43" s="68"/>
      <c r="AO43" s="70">
        <v>40289.05809027778</v>
      </c>
      <c r="AP43" s="72" t="str">
        <f>HYPERLINK("https://pbs.twimg.com/profile_banners/135337365/1606372006")</f>
        <v>https://pbs.twimg.com/profile_banners/135337365/1606372006</v>
      </c>
      <c r="AQ43" s="68" t="b">
        <v>0</v>
      </c>
      <c r="AR43" s="68" t="b">
        <v>0</v>
      </c>
      <c r="AS43" s="68" t="b">
        <v>1</v>
      </c>
      <c r="AT43" s="68"/>
      <c r="AU43" s="68">
        <v>8</v>
      </c>
      <c r="AV43" s="72" t="str">
        <f>HYPERLINK("https://abs.twimg.com/images/themes/theme1/bg.png")</f>
        <v>https://abs.twimg.com/images/themes/theme1/bg.png</v>
      </c>
      <c r="AW43" s="68" t="b">
        <v>0</v>
      </c>
      <c r="AX43" s="68" t="s">
        <v>331</v>
      </c>
      <c r="AY43" s="72" t="str">
        <f>HYPERLINK("https://twitter.com/alisondesu")</f>
        <v>https://twitter.com/alisondesu</v>
      </c>
      <c r="AZ43" s="68" t="s">
        <v>66</v>
      </c>
      <c r="BA43" s="67" t="str">
        <f>REPLACE(INDEX(GroupVertices[Group],MATCH(Vertices[[#This Row],[Vertex]],GroupVertices[Vertex],0)),1,1,"")</f>
        <v>1</v>
      </c>
      <c r="BB43" s="49">
        <v>1</v>
      </c>
      <c r="BC43" s="50">
        <v>2.272727272727273</v>
      </c>
      <c r="BD43" s="49">
        <v>0</v>
      </c>
      <c r="BE43" s="50">
        <v>0</v>
      </c>
      <c r="BF43" s="49">
        <v>0</v>
      </c>
      <c r="BG43" s="50">
        <v>0</v>
      </c>
      <c r="BH43" s="49">
        <v>43</v>
      </c>
      <c r="BI43" s="50">
        <v>97.72727272727273</v>
      </c>
      <c r="BJ43" s="49">
        <v>44</v>
      </c>
      <c r="BK43" s="49"/>
      <c r="BL43" s="49"/>
      <c r="BM43" s="49"/>
      <c r="BN43" s="49"/>
      <c r="BO43" s="49"/>
      <c r="BP43" s="49"/>
      <c r="BQ43" s="92" t="s">
        <v>1931</v>
      </c>
      <c r="BR43" s="92" t="s">
        <v>1931</v>
      </c>
      <c r="BS43" s="92" t="s">
        <v>1974</v>
      </c>
      <c r="BT43" s="92" t="s">
        <v>1974</v>
      </c>
    </row>
    <row r="44" spans="1:72" ht="15">
      <c r="A44" s="66" t="s">
        <v>575</v>
      </c>
      <c r="B44" s="84"/>
      <c r="C44" s="84"/>
      <c r="D44" s="94">
        <v>100</v>
      </c>
      <c r="E44" s="104"/>
      <c r="F44" s="81" t="str">
        <f>HYPERLINK("https://pbs.twimg.com/profile_images/1495303152530489344/FM5MocrY_normal.jpg")</f>
        <v>https://pbs.twimg.com/profile_images/1495303152530489344/FM5MocrY_normal.jpg</v>
      </c>
      <c r="G44" s="105"/>
      <c r="H44" s="82" t="s">
        <v>575</v>
      </c>
      <c r="I44" s="97"/>
      <c r="J44" s="106"/>
      <c r="K44" s="82" t="s">
        <v>1390</v>
      </c>
      <c r="L44" s="107">
        <v>1</v>
      </c>
      <c r="M44" s="101">
        <v>323.0293884277344</v>
      </c>
      <c r="N44" s="101">
        <v>8179.71923828125</v>
      </c>
      <c r="O44" s="102"/>
      <c r="P44" s="103"/>
      <c r="Q44" s="103"/>
      <c r="R44" s="108"/>
      <c r="S44" s="49">
        <v>0</v>
      </c>
      <c r="T44" s="49">
        <v>1</v>
      </c>
      <c r="U44" s="50">
        <v>0</v>
      </c>
      <c r="V44" s="50">
        <v>0.100475</v>
      </c>
      <c r="W44" s="50">
        <v>0.138558</v>
      </c>
      <c r="X44" s="50">
        <v>0.007406</v>
      </c>
      <c r="Y44" s="50">
        <v>0</v>
      </c>
      <c r="Z44" s="50">
        <v>0</v>
      </c>
      <c r="AA44" s="98">
        <v>44</v>
      </c>
      <c r="AB44" s="98"/>
      <c r="AC44" s="99"/>
      <c r="AD44" s="68" t="s">
        <v>1004</v>
      </c>
      <c r="AE44" s="73" t="s">
        <v>1113</v>
      </c>
      <c r="AF44" s="68">
        <v>1469</v>
      </c>
      <c r="AG44" s="68">
        <v>1999</v>
      </c>
      <c r="AH44" s="68">
        <v>115948</v>
      </c>
      <c r="AI44" s="68">
        <v>94061</v>
      </c>
      <c r="AJ44" s="68"/>
      <c r="AK44" s="68" t="s">
        <v>1221</v>
      </c>
      <c r="AL44" s="68" t="s">
        <v>1315</v>
      </c>
      <c r="AM44" s="72" t="str">
        <f>HYPERLINK("https://t.co/i1BHU73fHy")</f>
        <v>https://t.co/i1BHU73fHy</v>
      </c>
      <c r="AN44" s="68"/>
      <c r="AO44" s="70">
        <v>39933.86549768518</v>
      </c>
      <c r="AP44" s="72" t="str">
        <f>HYPERLINK("https://pbs.twimg.com/profile_banners/36767607/1588321954")</f>
        <v>https://pbs.twimg.com/profile_banners/36767607/1588321954</v>
      </c>
      <c r="AQ44" s="68" t="b">
        <v>0</v>
      </c>
      <c r="AR44" s="68" t="b">
        <v>0</v>
      </c>
      <c r="AS44" s="68" t="b">
        <v>1</v>
      </c>
      <c r="AT44" s="68"/>
      <c r="AU44" s="68">
        <v>104</v>
      </c>
      <c r="AV44" s="72" t="str">
        <f>HYPERLINK("https://abs.twimg.com/images/themes/theme1/bg.png")</f>
        <v>https://abs.twimg.com/images/themes/theme1/bg.png</v>
      </c>
      <c r="AW44" s="68" t="b">
        <v>0</v>
      </c>
      <c r="AX44" s="68" t="s">
        <v>331</v>
      </c>
      <c r="AY44" s="72" t="str">
        <f>HYPERLINK("https://twitter.com/napierinframe")</f>
        <v>https://twitter.com/napierinframe</v>
      </c>
      <c r="AZ44" s="68" t="s">
        <v>66</v>
      </c>
      <c r="BA44" s="67" t="str">
        <f>REPLACE(INDEX(GroupVertices[Group],MATCH(Vertices[[#This Row],[Vertex]],GroupVertices[Vertex],0)),1,1,"")</f>
        <v>1</v>
      </c>
      <c r="BB44" s="49">
        <v>1</v>
      </c>
      <c r="BC44" s="50">
        <v>2.272727272727273</v>
      </c>
      <c r="BD44" s="49">
        <v>0</v>
      </c>
      <c r="BE44" s="50">
        <v>0</v>
      </c>
      <c r="BF44" s="49">
        <v>0</v>
      </c>
      <c r="BG44" s="50">
        <v>0</v>
      </c>
      <c r="BH44" s="49">
        <v>43</v>
      </c>
      <c r="BI44" s="50">
        <v>97.72727272727273</v>
      </c>
      <c r="BJ44" s="49">
        <v>44</v>
      </c>
      <c r="BK44" s="49"/>
      <c r="BL44" s="49"/>
      <c r="BM44" s="49"/>
      <c r="BN44" s="49"/>
      <c r="BO44" s="49"/>
      <c r="BP44" s="49"/>
      <c r="BQ44" s="92" t="s">
        <v>1931</v>
      </c>
      <c r="BR44" s="92" t="s">
        <v>1931</v>
      </c>
      <c r="BS44" s="92" t="s">
        <v>1974</v>
      </c>
      <c r="BT44" s="92" t="s">
        <v>1974</v>
      </c>
    </row>
    <row r="45" spans="1:72" ht="15">
      <c r="A45" s="66" t="s">
        <v>576</v>
      </c>
      <c r="B45" s="84"/>
      <c r="C45" s="84"/>
      <c r="D45" s="94">
        <v>100</v>
      </c>
      <c r="E45" s="104"/>
      <c r="F45" s="81" t="str">
        <f>HYPERLINK("https://pbs.twimg.com/profile_images/1382826449627860996/xiuIVyrR_normal.jpg")</f>
        <v>https://pbs.twimg.com/profile_images/1382826449627860996/xiuIVyrR_normal.jpg</v>
      </c>
      <c r="G45" s="105"/>
      <c r="H45" s="82" t="s">
        <v>576</v>
      </c>
      <c r="I45" s="97"/>
      <c r="J45" s="106"/>
      <c r="K45" s="82" t="s">
        <v>1391</v>
      </c>
      <c r="L45" s="107">
        <v>1</v>
      </c>
      <c r="M45" s="101">
        <v>2378.9521484375</v>
      </c>
      <c r="N45" s="101">
        <v>4748.2001953125</v>
      </c>
      <c r="O45" s="102"/>
      <c r="P45" s="103"/>
      <c r="Q45" s="103"/>
      <c r="R45" s="108"/>
      <c r="S45" s="49">
        <v>0</v>
      </c>
      <c r="T45" s="49">
        <v>1</v>
      </c>
      <c r="U45" s="50">
        <v>0</v>
      </c>
      <c r="V45" s="50">
        <v>0.100475</v>
      </c>
      <c r="W45" s="50">
        <v>0.138558</v>
      </c>
      <c r="X45" s="50">
        <v>0.007406</v>
      </c>
      <c r="Y45" s="50">
        <v>0</v>
      </c>
      <c r="Z45" s="50">
        <v>0</v>
      </c>
      <c r="AA45" s="98">
        <v>45</v>
      </c>
      <c r="AB45" s="98"/>
      <c r="AC45" s="99"/>
      <c r="AD45" s="68" t="s">
        <v>1005</v>
      </c>
      <c r="AE45" s="73" t="s">
        <v>1114</v>
      </c>
      <c r="AF45" s="68">
        <v>1607</v>
      </c>
      <c r="AG45" s="68">
        <v>6450</v>
      </c>
      <c r="AH45" s="68">
        <v>9246</v>
      </c>
      <c r="AI45" s="68">
        <v>9236</v>
      </c>
      <c r="AJ45" s="68"/>
      <c r="AK45" s="68" t="s">
        <v>1222</v>
      </c>
      <c r="AL45" s="68"/>
      <c r="AM45" s="72" t="str">
        <f>HYPERLINK("https://t.co/fOcVQHaWV4")</f>
        <v>https://t.co/fOcVQHaWV4</v>
      </c>
      <c r="AN45" s="68"/>
      <c r="AO45" s="70">
        <v>40883.01241898148</v>
      </c>
      <c r="AP45" s="72" t="str">
        <f>HYPERLINK("https://pbs.twimg.com/profile_banners/429452117/1618526748")</f>
        <v>https://pbs.twimg.com/profile_banners/429452117/1618526748</v>
      </c>
      <c r="AQ45" s="68" t="b">
        <v>1</v>
      </c>
      <c r="AR45" s="68" t="b">
        <v>0</v>
      </c>
      <c r="AS45" s="68" t="b">
        <v>0</v>
      </c>
      <c r="AT45" s="68"/>
      <c r="AU45" s="68">
        <v>116</v>
      </c>
      <c r="AV45" s="72" t="str">
        <f>HYPERLINK("https://abs.twimg.com/images/themes/theme1/bg.png")</f>
        <v>https://abs.twimg.com/images/themes/theme1/bg.png</v>
      </c>
      <c r="AW45" s="68" t="b">
        <v>0</v>
      </c>
      <c r="AX45" s="68" t="s">
        <v>331</v>
      </c>
      <c r="AY45" s="72" t="str">
        <f>HYPERLINK("https://twitter.com/eugeniesage")</f>
        <v>https://twitter.com/eugeniesage</v>
      </c>
      <c r="AZ45" s="68" t="s">
        <v>66</v>
      </c>
      <c r="BA45" s="67" t="str">
        <f>REPLACE(INDEX(GroupVertices[Group],MATCH(Vertices[[#This Row],[Vertex]],GroupVertices[Vertex],0)),1,1,"")</f>
        <v>1</v>
      </c>
      <c r="BB45" s="49">
        <v>1</v>
      </c>
      <c r="BC45" s="50">
        <v>2.272727272727273</v>
      </c>
      <c r="BD45" s="49">
        <v>0</v>
      </c>
      <c r="BE45" s="50">
        <v>0</v>
      </c>
      <c r="BF45" s="49">
        <v>0</v>
      </c>
      <c r="BG45" s="50">
        <v>0</v>
      </c>
      <c r="BH45" s="49">
        <v>43</v>
      </c>
      <c r="BI45" s="50">
        <v>97.72727272727273</v>
      </c>
      <c r="BJ45" s="49">
        <v>44</v>
      </c>
      <c r="BK45" s="49"/>
      <c r="BL45" s="49"/>
      <c r="BM45" s="49"/>
      <c r="BN45" s="49"/>
      <c r="BO45" s="49"/>
      <c r="BP45" s="49"/>
      <c r="BQ45" s="92" t="s">
        <v>1931</v>
      </c>
      <c r="BR45" s="92" t="s">
        <v>1931</v>
      </c>
      <c r="BS45" s="92" t="s">
        <v>1974</v>
      </c>
      <c r="BT45" s="92" t="s">
        <v>1974</v>
      </c>
    </row>
    <row r="46" spans="1:72" ht="15">
      <c r="A46" s="66" t="s">
        <v>577</v>
      </c>
      <c r="B46" s="84"/>
      <c r="C46" s="84"/>
      <c r="D46" s="94">
        <v>100</v>
      </c>
      <c r="E46" s="104"/>
      <c r="F46" s="81" t="str">
        <f>HYPERLINK("https://pbs.twimg.com/profile_images/1483993090163888130/KhvaPeoa_normal.jpg")</f>
        <v>https://pbs.twimg.com/profile_images/1483993090163888130/KhvaPeoa_normal.jpg</v>
      </c>
      <c r="G46" s="105"/>
      <c r="H46" s="82" t="s">
        <v>577</v>
      </c>
      <c r="I46" s="97"/>
      <c r="J46" s="106"/>
      <c r="K46" s="82" t="s">
        <v>1392</v>
      </c>
      <c r="L46" s="107">
        <v>1</v>
      </c>
      <c r="M46" s="101">
        <v>1107.6839599609375</v>
      </c>
      <c r="N46" s="101">
        <v>9561.1650390625</v>
      </c>
      <c r="O46" s="102"/>
      <c r="P46" s="103"/>
      <c r="Q46" s="103"/>
      <c r="R46" s="108"/>
      <c r="S46" s="49">
        <v>0</v>
      </c>
      <c r="T46" s="49">
        <v>1</v>
      </c>
      <c r="U46" s="50">
        <v>0</v>
      </c>
      <c r="V46" s="50">
        <v>0.100475</v>
      </c>
      <c r="W46" s="50">
        <v>0.138558</v>
      </c>
      <c r="X46" s="50">
        <v>0.007406</v>
      </c>
      <c r="Y46" s="50">
        <v>0</v>
      </c>
      <c r="Z46" s="50">
        <v>0</v>
      </c>
      <c r="AA46" s="98">
        <v>46</v>
      </c>
      <c r="AB46" s="98"/>
      <c r="AC46" s="99"/>
      <c r="AD46" s="68" t="s">
        <v>1006</v>
      </c>
      <c r="AE46" s="73" t="s">
        <v>1115</v>
      </c>
      <c r="AF46" s="68">
        <v>1530</v>
      </c>
      <c r="AG46" s="68">
        <v>1150</v>
      </c>
      <c r="AH46" s="68">
        <v>53522</v>
      </c>
      <c r="AI46" s="68">
        <v>121381</v>
      </c>
      <c r="AJ46" s="68"/>
      <c r="AK46" s="68" t="s">
        <v>1223</v>
      </c>
      <c r="AL46" s="68"/>
      <c r="AM46" s="68"/>
      <c r="AN46" s="68"/>
      <c r="AO46" s="70">
        <v>41317.46037037037</v>
      </c>
      <c r="AP46" s="72" t="str">
        <f>HYPERLINK("https://pbs.twimg.com/profile_banners/1171620144/1647596877")</f>
        <v>https://pbs.twimg.com/profile_banners/1171620144/1647596877</v>
      </c>
      <c r="AQ46" s="68" t="b">
        <v>0</v>
      </c>
      <c r="AR46" s="68" t="b">
        <v>0</v>
      </c>
      <c r="AS46" s="68" t="b">
        <v>1</v>
      </c>
      <c r="AT46" s="68"/>
      <c r="AU46" s="68">
        <v>42</v>
      </c>
      <c r="AV46" s="72" t="str">
        <f>HYPERLINK("https://abs.twimg.com/images/themes/theme18/bg.gif")</f>
        <v>https://abs.twimg.com/images/themes/theme18/bg.gif</v>
      </c>
      <c r="AW46" s="68" t="b">
        <v>0</v>
      </c>
      <c r="AX46" s="68" t="s">
        <v>331</v>
      </c>
      <c r="AY46" s="72" t="str">
        <f>HYPERLINK("https://twitter.com/essigna")</f>
        <v>https://twitter.com/essigna</v>
      </c>
      <c r="AZ46" s="68" t="s">
        <v>66</v>
      </c>
      <c r="BA46" s="67" t="str">
        <f>REPLACE(INDEX(GroupVertices[Group],MATCH(Vertices[[#This Row],[Vertex]],GroupVertices[Vertex],0)),1,1,"")</f>
        <v>1</v>
      </c>
      <c r="BB46" s="49">
        <v>2</v>
      </c>
      <c r="BC46" s="50">
        <v>4</v>
      </c>
      <c r="BD46" s="49">
        <v>0</v>
      </c>
      <c r="BE46" s="50">
        <v>0</v>
      </c>
      <c r="BF46" s="49">
        <v>0</v>
      </c>
      <c r="BG46" s="50">
        <v>0</v>
      </c>
      <c r="BH46" s="49">
        <v>48</v>
      </c>
      <c r="BI46" s="50">
        <v>96</v>
      </c>
      <c r="BJ46" s="49">
        <v>50</v>
      </c>
      <c r="BK46" s="49"/>
      <c r="BL46" s="49"/>
      <c r="BM46" s="49"/>
      <c r="BN46" s="49"/>
      <c r="BO46" s="49"/>
      <c r="BP46" s="49"/>
      <c r="BQ46" s="92" t="s">
        <v>1933</v>
      </c>
      <c r="BR46" s="92" t="s">
        <v>1933</v>
      </c>
      <c r="BS46" s="92" t="s">
        <v>1975</v>
      </c>
      <c r="BT46" s="92" t="s">
        <v>1975</v>
      </c>
    </row>
    <row r="47" spans="1:72" ht="15">
      <c r="A47" s="66" t="s">
        <v>578</v>
      </c>
      <c r="B47" s="84"/>
      <c r="C47" s="84"/>
      <c r="D47" s="94">
        <v>100</v>
      </c>
      <c r="E47" s="104"/>
      <c r="F47" s="81" t="str">
        <f>HYPERLINK("https://pbs.twimg.com/profile_images/537767884013850624/UUBKong3_normal.jpeg")</f>
        <v>https://pbs.twimg.com/profile_images/537767884013850624/UUBKong3_normal.jpeg</v>
      </c>
      <c r="G47" s="105"/>
      <c r="H47" s="82" t="s">
        <v>578</v>
      </c>
      <c r="I47" s="97"/>
      <c r="J47" s="106"/>
      <c r="K47" s="82" t="s">
        <v>1393</v>
      </c>
      <c r="L47" s="107">
        <v>1</v>
      </c>
      <c r="M47" s="101">
        <v>1409.8175048828125</v>
      </c>
      <c r="N47" s="101">
        <v>8434.6552734375</v>
      </c>
      <c r="O47" s="102"/>
      <c r="P47" s="103"/>
      <c r="Q47" s="103"/>
      <c r="R47" s="108"/>
      <c r="S47" s="49">
        <v>0</v>
      </c>
      <c r="T47" s="49">
        <v>1</v>
      </c>
      <c r="U47" s="50">
        <v>0</v>
      </c>
      <c r="V47" s="50">
        <v>0.100475</v>
      </c>
      <c r="W47" s="50">
        <v>0.138558</v>
      </c>
      <c r="X47" s="50">
        <v>0.007406</v>
      </c>
      <c r="Y47" s="50">
        <v>0</v>
      </c>
      <c r="Z47" s="50">
        <v>0</v>
      </c>
      <c r="AA47" s="98">
        <v>47</v>
      </c>
      <c r="AB47" s="98"/>
      <c r="AC47" s="99"/>
      <c r="AD47" s="68" t="s">
        <v>1007</v>
      </c>
      <c r="AE47" s="73" t="s">
        <v>1116</v>
      </c>
      <c r="AF47" s="68">
        <v>5002</v>
      </c>
      <c r="AG47" s="68">
        <v>2010</v>
      </c>
      <c r="AH47" s="68">
        <v>188463</v>
      </c>
      <c r="AI47" s="68">
        <v>161738</v>
      </c>
      <c r="AJ47" s="68"/>
      <c r="AK47" s="68" t="s">
        <v>1224</v>
      </c>
      <c r="AL47" s="68" t="s">
        <v>1316</v>
      </c>
      <c r="AM47" s="72" t="str">
        <f>HYPERLINK("https://t.co/iDFb5QuW3F")</f>
        <v>https://t.co/iDFb5QuW3F</v>
      </c>
      <c r="AN47" s="68"/>
      <c r="AO47" s="70">
        <v>39452.873148148145</v>
      </c>
      <c r="AP47" s="72" t="str">
        <f>HYPERLINK("https://pbs.twimg.com/profile_banners/11886562/1417807134")</f>
        <v>https://pbs.twimg.com/profile_banners/11886562/1417807134</v>
      </c>
      <c r="AQ47" s="68" t="b">
        <v>1</v>
      </c>
      <c r="AR47" s="68" t="b">
        <v>0</v>
      </c>
      <c r="AS47" s="68" t="b">
        <v>1</v>
      </c>
      <c r="AT47" s="68"/>
      <c r="AU47" s="68">
        <v>387</v>
      </c>
      <c r="AV47" s="72" t="str">
        <f>HYPERLINK("https://abs.twimg.com/images/themes/theme1/bg.png")</f>
        <v>https://abs.twimg.com/images/themes/theme1/bg.png</v>
      </c>
      <c r="AW47" s="68" t="b">
        <v>0</v>
      </c>
      <c r="AX47" s="68" t="s">
        <v>331</v>
      </c>
      <c r="AY47" s="72" t="str">
        <f>HYPERLINK("https://twitter.com/macilree")</f>
        <v>https://twitter.com/macilree</v>
      </c>
      <c r="AZ47" s="68" t="s">
        <v>66</v>
      </c>
      <c r="BA47" s="67" t="str">
        <f>REPLACE(INDEX(GroupVertices[Group],MATCH(Vertices[[#This Row],[Vertex]],GroupVertices[Vertex],0)),1,1,"")</f>
        <v>1</v>
      </c>
      <c r="BB47" s="49">
        <v>1</v>
      </c>
      <c r="BC47" s="50">
        <v>2.272727272727273</v>
      </c>
      <c r="BD47" s="49">
        <v>0</v>
      </c>
      <c r="BE47" s="50">
        <v>0</v>
      </c>
      <c r="BF47" s="49">
        <v>0</v>
      </c>
      <c r="BG47" s="50">
        <v>0</v>
      </c>
      <c r="BH47" s="49">
        <v>43</v>
      </c>
      <c r="BI47" s="50">
        <v>97.72727272727273</v>
      </c>
      <c r="BJ47" s="49">
        <v>44</v>
      </c>
      <c r="BK47" s="49"/>
      <c r="BL47" s="49"/>
      <c r="BM47" s="49"/>
      <c r="BN47" s="49"/>
      <c r="BO47" s="49"/>
      <c r="BP47" s="49"/>
      <c r="BQ47" s="92" t="s">
        <v>1931</v>
      </c>
      <c r="BR47" s="92" t="s">
        <v>1931</v>
      </c>
      <c r="BS47" s="92" t="s">
        <v>1974</v>
      </c>
      <c r="BT47" s="92" t="s">
        <v>1974</v>
      </c>
    </row>
    <row r="48" spans="1:72" ht="15">
      <c r="A48" s="66" t="s">
        <v>579</v>
      </c>
      <c r="B48" s="84"/>
      <c r="C48" s="84"/>
      <c r="D48" s="94">
        <v>100</v>
      </c>
      <c r="E48" s="104"/>
      <c r="F48" s="81" t="str">
        <f>HYPERLINK("https://pbs.twimg.com/profile_images/1524714834314821632/_Pwn3z0M_normal.jpg")</f>
        <v>https://pbs.twimg.com/profile_images/1524714834314821632/_Pwn3z0M_normal.jpg</v>
      </c>
      <c r="G48" s="105"/>
      <c r="H48" s="82" t="s">
        <v>579</v>
      </c>
      <c r="I48" s="97"/>
      <c r="J48" s="106"/>
      <c r="K48" s="82" t="s">
        <v>1394</v>
      </c>
      <c r="L48" s="107">
        <v>1</v>
      </c>
      <c r="M48" s="101">
        <v>5089.1806640625</v>
      </c>
      <c r="N48" s="101">
        <v>8767.6181640625</v>
      </c>
      <c r="O48" s="102"/>
      <c r="P48" s="103"/>
      <c r="Q48" s="103"/>
      <c r="R48" s="108"/>
      <c r="S48" s="49">
        <v>0</v>
      </c>
      <c r="T48" s="49">
        <v>1</v>
      </c>
      <c r="U48" s="50">
        <v>0</v>
      </c>
      <c r="V48" s="50">
        <v>0.053512</v>
      </c>
      <c r="W48" s="50">
        <v>0</v>
      </c>
      <c r="X48" s="50">
        <v>0.007444</v>
      </c>
      <c r="Y48" s="50">
        <v>0</v>
      </c>
      <c r="Z48" s="50">
        <v>0</v>
      </c>
      <c r="AA48" s="98">
        <v>48</v>
      </c>
      <c r="AB48" s="98"/>
      <c r="AC48" s="99"/>
      <c r="AD48" s="68" t="s">
        <v>1008</v>
      </c>
      <c r="AE48" s="73" t="s">
        <v>1117</v>
      </c>
      <c r="AF48" s="68">
        <v>4215</v>
      </c>
      <c r="AG48" s="68">
        <v>5260</v>
      </c>
      <c r="AH48" s="68">
        <v>63736</v>
      </c>
      <c r="AI48" s="68">
        <v>77213</v>
      </c>
      <c r="AJ48" s="68"/>
      <c r="AK48" s="68" t="s">
        <v>1225</v>
      </c>
      <c r="AL48" s="68" t="s">
        <v>1317</v>
      </c>
      <c r="AM48" s="72" t="str">
        <f>HYPERLINK("https://t.co/lx8qjPI1Hj")</f>
        <v>https://t.co/lx8qjPI1Hj</v>
      </c>
      <c r="AN48" s="68"/>
      <c r="AO48" s="70">
        <v>39815.06408564815</v>
      </c>
      <c r="AP48" s="72" t="str">
        <f>HYPERLINK("https://pbs.twimg.com/profile_banners/18541658/1652181716")</f>
        <v>https://pbs.twimg.com/profile_banners/18541658/1652181716</v>
      </c>
      <c r="AQ48" s="68" t="b">
        <v>0</v>
      </c>
      <c r="AR48" s="68" t="b">
        <v>0</v>
      </c>
      <c r="AS48" s="68" t="b">
        <v>1</v>
      </c>
      <c r="AT48" s="68"/>
      <c r="AU48" s="68">
        <v>216</v>
      </c>
      <c r="AV48" s="72" t="str">
        <f>HYPERLINK("https://abs.twimg.com/images/themes/theme14/bg.gif")</f>
        <v>https://abs.twimg.com/images/themes/theme14/bg.gif</v>
      </c>
      <c r="AW48" s="68" t="b">
        <v>0</v>
      </c>
      <c r="AX48" s="68" t="s">
        <v>331</v>
      </c>
      <c r="AY48" s="72" t="str">
        <f>HYPERLINK("https://twitter.com/uriohau")</f>
        <v>https://twitter.com/uriohau</v>
      </c>
      <c r="AZ48" s="68" t="s">
        <v>66</v>
      </c>
      <c r="BA48" s="67" t="str">
        <f>REPLACE(INDEX(GroupVertices[Group],MATCH(Vertices[[#This Row],[Vertex]],GroupVertices[Vertex],0)),1,1,"")</f>
        <v>3</v>
      </c>
      <c r="BB48" s="49">
        <v>1</v>
      </c>
      <c r="BC48" s="50">
        <v>2.3255813953488373</v>
      </c>
      <c r="BD48" s="49">
        <v>0</v>
      </c>
      <c r="BE48" s="50">
        <v>0</v>
      </c>
      <c r="BF48" s="49">
        <v>0</v>
      </c>
      <c r="BG48" s="50">
        <v>0</v>
      </c>
      <c r="BH48" s="49">
        <v>42</v>
      </c>
      <c r="BI48" s="50">
        <v>97.67441860465117</v>
      </c>
      <c r="BJ48" s="49">
        <v>43</v>
      </c>
      <c r="BK48" s="49"/>
      <c r="BL48" s="49"/>
      <c r="BM48" s="49"/>
      <c r="BN48" s="49"/>
      <c r="BO48" s="49"/>
      <c r="BP48" s="49"/>
      <c r="BQ48" s="92" t="s">
        <v>1934</v>
      </c>
      <c r="BR48" s="92" t="s">
        <v>1934</v>
      </c>
      <c r="BS48" s="92" t="s">
        <v>1861</v>
      </c>
      <c r="BT48" s="92" t="s">
        <v>1861</v>
      </c>
    </row>
    <row r="49" spans="1:72" ht="15">
      <c r="A49" s="66" t="s">
        <v>625</v>
      </c>
      <c r="B49" s="84"/>
      <c r="C49" s="84"/>
      <c r="D49" s="94">
        <v>1000</v>
      </c>
      <c r="E49" s="104"/>
      <c r="F49" s="81" t="str">
        <f>HYPERLINK("https://pbs.twimg.com/profile_images/1438825798664790022/_-j5pae4_normal.jpg")</f>
        <v>https://pbs.twimg.com/profile_images/1438825798664790022/_-j5pae4_normal.jpg</v>
      </c>
      <c r="G49" s="105"/>
      <c r="H49" s="82" t="s">
        <v>625</v>
      </c>
      <c r="I49" s="97"/>
      <c r="J49" s="106"/>
      <c r="K49" s="82" t="s">
        <v>1395</v>
      </c>
      <c r="L49" s="107">
        <v>2609.1739130434785</v>
      </c>
      <c r="M49" s="101">
        <v>4550.62353515625</v>
      </c>
      <c r="N49" s="101">
        <v>6690.02734375</v>
      </c>
      <c r="O49" s="102"/>
      <c r="P49" s="103"/>
      <c r="Q49" s="103"/>
      <c r="R49" s="108"/>
      <c r="S49" s="49">
        <v>13</v>
      </c>
      <c r="T49" s="49">
        <v>1</v>
      </c>
      <c r="U49" s="50">
        <v>132</v>
      </c>
      <c r="V49" s="50">
        <v>0.102564</v>
      </c>
      <c r="W49" s="50">
        <v>0</v>
      </c>
      <c r="X49" s="50">
        <v>0.020844</v>
      </c>
      <c r="Y49" s="50">
        <v>0</v>
      </c>
      <c r="Z49" s="50">
        <v>0</v>
      </c>
      <c r="AA49" s="98">
        <v>49</v>
      </c>
      <c r="AB49" s="98"/>
      <c r="AC49" s="99"/>
      <c r="AD49" s="68" t="s">
        <v>1009</v>
      </c>
      <c r="AE49" s="73" t="s">
        <v>1118</v>
      </c>
      <c r="AF49" s="68">
        <v>331</v>
      </c>
      <c r="AG49" s="68">
        <v>166</v>
      </c>
      <c r="AH49" s="68">
        <v>237</v>
      </c>
      <c r="AI49" s="68">
        <v>208</v>
      </c>
      <c r="AJ49" s="68"/>
      <c r="AK49" s="68" t="s">
        <v>1226</v>
      </c>
      <c r="AL49" s="68"/>
      <c r="AM49" s="68"/>
      <c r="AN49" s="68"/>
      <c r="AO49" s="70">
        <v>44456.47375</v>
      </c>
      <c r="AP49" s="72" t="str">
        <f>HYPERLINK("https://pbs.twimg.com/profile_banners/1438825568883986433/1648768581")</f>
        <v>https://pbs.twimg.com/profile_banners/1438825568883986433/1648768581</v>
      </c>
      <c r="AQ49" s="68" t="b">
        <v>1</v>
      </c>
      <c r="AR49" s="68" t="b">
        <v>0</v>
      </c>
      <c r="AS49" s="68" t="b">
        <v>0</v>
      </c>
      <c r="AT49" s="68"/>
      <c r="AU49" s="68">
        <v>1</v>
      </c>
      <c r="AV49" s="68"/>
      <c r="AW49" s="68" t="b">
        <v>0</v>
      </c>
      <c r="AX49" s="68" t="s">
        <v>331</v>
      </c>
      <c r="AY49" s="72" t="str">
        <f>HYPERLINK("https://twitter.com/climatejusticet")</f>
        <v>https://twitter.com/climatejusticet</v>
      </c>
      <c r="AZ49" s="68" t="s">
        <v>66</v>
      </c>
      <c r="BA49" s="67" t="str">
        <f>REPLACE(INDEX(GroupVertices[Group],MATCH(Vertices[[#This Row],[Vertex]],GroupVertices[Vertex],0)),1,1,"")</f>
        <v>3</v>
      </c>
      <c r="BB49" s="49">
        <v>1</v>
      </c>
      <c r="BC49" s="50">
        <v>2.3255813953488373</v>
      </c>
      <c r="BD49" s="49">
        <v>0</v>
      </c>
      <c r="BE49" s="50">
        <v>0</v>
      </c>
      <c r="BF49" s="49">
        <v>0</v>
      </c>
      <c r="BG49" s="50">
        <v>0</v>
      </c>
      <c r="BH49" s="49">
        <v>42</v>
      </c>
      <c r="BI49" s="50">
        <v>97.67441860465117</v>
      </c>
      <c r="BJ49" s="49">
        <v>43</v>
      </c>
      <c r="BK49" s="49"/>
      <c r="BL49" s="49"/>
      <c r="BM49" s="49"/>
      <c r="BN49" s="49"/>
      <c r="BO49" s="49"/>
      <c r="BP49" s="49"/>
      <c r="BQ49" s="92" t="s">
        <v>1934</v>
      </c>
      <c r="BR49" s="92" t="s">
        <v>1934</v>
      </c>
      <c r="BS49" s="92" t="s">
        <v>1861</v>
      </c>
      <c r="BT49" s="92" t="s">
        <v>1861</v>
      </c>
    </row>
    <row r="50" spans="1:72" ht="15">
      <c r="A50" s="66" t="s">
        <v>580</v>
      </c>
      <c r="B50" s="84"/>
      <c r="C50" s="84"/>
      <c r="D50" s="94">
        <v>100</v>
      </c>
      <c r="E50" s="104"/>
      <c r="F50" s="81" t="str">
        <f>HYPERLINK("https://pbs.twimg.com/profile_images/378800000476930086/97e51731c2bccc31d5570806b033aa52_normal.jpeg")</f>
        <v>https://pbs.twimg.com/profile_images/378800000476930086/97e51731c2bccc31d5570806b033aa52_normal.jpeg</v>
      </c>
      <c r="G50" s="105"/>
      <c r="H50" s="82" t="s">
        <v>580</v>
      </c>
      <c r="I50" s="97"/>
      <c r="J50" s="106"/>
      <c r="K50" s="82" t="s">
        <v>1396</v>
      </c>
      <c r="L50" s="107">
        <v>1</v>
      </c>
      <c r="M50" s="101">
        <v>599.94091796875</v>
      </c>
      <c r="N50" s="101">
        <v>8960.216796875</v>
      </c>
      <c r="O50" s="102"/>
      <c r="P50" s="103"/>
      <c r="Q50" s="103"/>
      <c r="R50" s="108"/>
      <c r="S50" s="49">
        <v>0</v>
      </c>
      <c r="T50" s="49">
        <v>1</v>
      </c>
      <c r="U50" s="50">
        <v>0</v>
      </c>
      <c r="V50" s="50">
        <v>0.100475</v>
      </c>
      <c r="W50" s="50">
        <v>0.138558</v>
      </c>
      <c r="X50" s="50">
        <v>0.007406</v>
      </c>
      <c r="Y50" s="50">
        <v>0</v>
      </c>
      <c r="Z50" s="50">
        <v>0</v>
      </c>
      <c r="AA50" s="98">
        <v>50</v>
      </c>
      <c r="AB50" s="98"/>
      <c r="AC50" s="99"/>
      <c r="AD50" s="68" t="s">
        <v>1010</v>
      </c>
      <c r="AE50" s="73" t="s">
        <v>1119</v>
      </c>
      <c r="AF50" s="68">
        <v>507</v>
      </c>
      <c r="AG50" s="68">
        <v>206</v>
      </c>
      <c r="AH50" s="68">
        <v>938</v>
      </c>
      <c r="AI50" s="68">
        <v>1279</v>
      </c>
      <c r="AJ50" s="68"/>
      <c r="AK50" s="68" t="s">
        <v>1227</v>
      </c>
      <c r="AL50" s="68" t="s">
        <v>1318</v>
      </c>
      <c r="AM50" s="72" t="str">
        <f>HYPERLINK("http://t.co/jk3VvFnIQ7")</f>
        <v>http://t.co/jk3VvFnIQ7</v>
      </c>
      <c r="AN50" s="68"/>
      <c r="AO50" s="70">
        <v>39875.01075231482</v>
      </c>
      <c r="AP50" s="72" t="str">
        <f>HYPERLINK("https://pbs.twimg.com/profile_banners/22557567/1379568529")</f>
        <v>https://pbs.twimg.com/profile_banners/22557567/1379568529</v>
      </c>
      <c r="AQ50" s="68" t="b">
        <v>1</v>
      </c>
      <c r="AR50" s="68" t="b">
        <v>0</v>
      </c>
      <c r="AS50" s="68" t="b">
        <v>0</v>
      </c>
      <c r="AT50" s="68"/>
      <c r="AU50" s="68">
        <v>4</v>
      </c>
      <c r="AV50" s="72" t="str">
        <f>HYPERLINK("https://abs.twimg.com/images/themes/theme1/bg.png")</f>
        <v>https://abs.twimg.com/images/themes/theme1/bg.png</v>
      </c>
      <c r="AW50" s="68" t="b">
        <v>0</v>
      </c>
      <c r="AX50" s="68" t="s">
        <v>331</v>
      </c>
      <c r="AY50" s="72" t="str">
        <f>HYPERLINK("https://twitter.com/jennyneligan")</f>
        <v>https://twitter.com/jennyneligan</v>
      </c>
      <c r="AZ50" s="68" t="s">
        <v>66</v>
      </c>
      <c r="BA50" s="67" t="str">
        <f>REPLACE(INDEX(GroupVertices[Group],MATCH(Vertices[[#This Row],[Vertex]],GroupVertices[Vertex],0)),1,1,"")</f>
        <v>1</v>
      </c>
      <c r="BB50" s="49">
        <v>1</v>
      </c>
      <c r="BC50" s="50">
        <v>2.272727272727273</v>
      </c>
      <c r="BD50" s="49">
        <v>0</v>
      </c>
      <c r="BE50" s="50">
        <v>0</v>
      </c>
      <c r="BF50" s="49">
        <v>0</v>
      </c>
      <c r="BG50" s="50">
        <v>0</v>
      </c>
      <c r="BH50" s="49">
        <v>43</v>
      </c>
      <c r="BI50" s="50">
        <v>97.72727272727273</v>
      </c>
      <c r="BJ50" s="49">
        <v>44</v>
      </c>
      <c r="BK50" s="49"/>
      <c r="BL50" s="49"/>
      <c r="BM50" s="49"/>
      <c r="BN50" s="49"/>
      <c r="BO50" s="49"/>
      <c r="BP50" s="49"/>
      <c r="BQ50" s="92" t="s">
        <v>1931</v>
      </c>
      <c r="BR50" s="92" t="s">
        <v>1931</v>
      </c>
      <c r="BS50" s="92" t="s">
        <v>1974</v>
      </c>
      <c r="BT50" s="92" t="s">
        <v>1974</v>
      </c>
    </row>
    <row r="51" spans="1:72" ht="15">
      <c r="A51" s="66" t="s">
        <v>581</v>
      </c>
      <c r="B51" s="84"/>
      <c r="C51" s="84"/>
      <c r="D51" s="94">
        <v>100</v>
      </c>
      <c r="E51" s="104"/>
      <c r="F51" s="81" t="str">
        <f>HYPERLINK("https://pbs.twimg.com/profile_images/1175587153268527104/sbJ-R2-c_normal.jpg")</f>
        <v>https://pbs.twimg.com/profile_images/1175587153268527104/sbJ-R2-c_normal.jpg</v>
      </c>
      <c r="G51" s="105"/>
      <c r="H51" s="82" t="s">
        <v>581</v>
      </c>
      <c r="I51" s="97"/>
      <c r="J51" s="106"/>
      <c r="K51" s="82" t="s">
        <v>1397</v>
      </c>
      <c r="L51" s="107">
        <v>1</v>
      </c>
      <c r="M51" s="101">
        <v>3813.177978515625</v>
      </c>
      <c r="N51" s="101">
        <v>7545.4873046875</v>
      </c>
      <c r="O51" s="102"/>
      <c r="P51" s="103"/>
      <c r="Q51" s="103"/>
      <c r="R51" s="108"/>
      <c r="S51" s="49">
        <v>0</v>
      </c>
      <c r="T51" s="49">
        <v>1</v>
      </c>
      <c r="U51" s="50">
        <v>0</v>
      </c>
      <c r="V51" s="50">
        <v>0.053512</v>
      </c>
      <c r="W51" s="50">
        <v>0</v>
      </c>
      <c r="X51" s="50">
        <v>0.007444</v>
      </c>
      <c r="Y51" s="50">
        <v>0</v>
      </c>
      <c r="Z51" s="50">
        <v>0</v>
      </c>
      <c r="AA51" s="98">
        <v>51</v>
      </c>
      <c r="AB51" s="98"/>
      <c r="AC51" s="99"/>
      <c r="AD51" s="68" t="s">
        <v>1011</v>
      </c>
      <c r="AE51" s="73" t="s">
        <v>1120</v>
      </c>
      <c r="AF51" s="68">
        <v>499</v>
      </c>
      <c r="AG51" s="68">
        <v>1594</v>
      </c>
      <c r="AH51" s="68">
        <v>6006</v>
      </c>
      <c r="AI51" s="68">
        <v>7762</v>
      </c>
      <c r="AJ51" s="68"/>
      <c r="AK51" s="68" t="s">
        <v>1228</v>
      </c>
      <c r="AL51" s="68"/>
      <c r="AM51" s="68"/>
      <c r="AN51" s="68"/>
      <c r="AO51" s="70">
        <v>40975.34646990741</v>
      </c>
      <c r="AP51" s="72" t="str">
        <f>HYPERLINK("https://pbs.twimg.com/profile_banners/517361186/1624917477")</f>
        <v>https://pbs.twimg.com/profile_banners/517361186/1624917477</v>
      </c>
      <c r="AQ51" s="68" t="b">
        <v>1</v>
      </c>
      <c r="AR51" s="68" t="b">
        <v>0</v>
      </c>
      <c r="AS51" s="68" t="b">
        <v>1</v>
      </c>
      <c r="AT51" s="68"/>
      <c r="AU51" s="68">
        <v>9</v>
      </c>
      <c r="AV51" s="72" t="str">
        <f>HYPERLINK("https://abs.twimg.com/images/themes/theme1/bg.png")</f>
        <v>https://abs.twimg.com/images/themes/theme1/bg.png</v>
      </c>
      <c r="AW51" s="68" t="b">
        <v>0</v>
      </c>
      <c r="AX51" s="68" t="s">
        <v>331</v>
      </c>
      <c r="AY51" s="72" t="str">
        <f>HYPERLINK("https://twitter.com/haylskoroi")</f>
        <v>https://twitter.com/haylskoroi</v>
      </c>
      <c r="AZ51" s="68" t="s">
        <v>66</v>
      </c>
      <c r="BA51" s="67" t="str">
        <f>REPLACE(INDEX(GroupVertices[Group],MATCH(Vertices[[#This Row],[Vertex]],GroupVertices[Vertex],0)),1,1,"")</f>
        <v>3</v>
      </c>
      <c r="BB51" s="49">
        <v>1</v>
      </c>
      <c r="BC51" s="50">
        <v>2.3255813953488373</v>
      </c>
      <c r="BD51" s="49">
        <v>0</v>
      </c>
      <c r="BE51" s="50">
        <v>0</v>
      </c>
      <c r="BF51" s="49">
        <v>0</v>
      </c>
      <c r="BG51" s="50">
        <v>0</v>
      </c>
      <c r="BH51" s="49">
        <v>42</v>
      </c>
      <c r="BI51" s="50">
        <v>97.67441860465117</v>
      </c>
      <c r="BJ51" s="49">
        <v>43</v>
      </c>
      <c r="BK51" s="49"/>
      <c r="BL51" s="49"/>
      <c r="BM51" s="49"/>
      <c r="BN51" s="49"/>
      <c r="BO51" s="49"/>
      <c r="BP51" s="49"/>
      <c r="BQ51" s="92" t="s">
        <v>1934</v>
      </c>
      <c r="BR51" s="92" t="s">
        <v>1934</v>
      </c>
      <c r="BS51" s="92" t="s">
        <v>1861</v>
      </c>
      <c r="BT51" s="92" t="s">
        <v>1861</v>
      </c>
    </row>
    <row r="52" spans="1:72" ht="15">
      <c r="A52" s="66" t="s">
        <v>582</v>
      </c>
      <c r="B52" s="84"/>
      <c r="C52" s="84"/>
      <c r="D52" s="94">
        <v>100</v>
      </c>
      <c r="E52" s="104"/>
      <c r="F52" s="81" t="str">
        <f>HYPERLINK("https://pbs.twimg.com/profile_images/1437299302032822272/Xew9wpQo_normal.jpg")</f>
        <v>https://pbs.twimg.com/profile_images/1437299302032822272/Xew9wpQo_normal.jpg</v>
      </c>
      <c r="G52" s="105"/>
      <c r="H52" s="82" t="s">
        <v>582</v>
      </c>
      <c r="I52" s="97"/>
      <c r="J52" s="106"/>
      <c r="K52" s="82" t="s">
        <v>1398</v>
      </c>
      <c r="L52" s="107">
        <v>1</v>
      </c>
      <c r="M52" s="101">
        <v>4751.96630859375</v>
      </c>
      <c r="N52" s="101">
        <v>9543.388671875</v>
      </c>
      <c r="O52" s="102"/>
      <c r="P52" s="103"/>
      <c r="Q52" s="103"/>
      <c r="R52" s="108"/>
      <c r="S52" s="49">
        <v>0</v>
      </c>
      <c r="T52" s="49">
        <v>1</v>
      </c>
      <c r="U52" s="50">
        <v>0</v>
      </c>
      <c r="V52" s="50">
        <v>0.053512</v>
      </c>
      <c r="W52" s="50">
        <v>0</v>
      </c>
      <c r="X52" s="50">
        <v>0.007444</v>
      </c>
      <c r="Y52" s="50">
        <v>0</v>
      </c>
      <c r="Z52" s="50">
        <v>0</v>
      </c>
      <c r="AA52" s="98">
        <v>52</v>
      </c>
      <c r="AB52" s="98"/>
      <c r="AC52" s="99"/>
      <c r="AD52" s="68" t="s">
        <v>1012</v>
      </c>
      <c r="AE52" s="73" t="s">
        <v>1121</v>
      </c>
      <c r="AF52" s="68">
        <v>175</v>
      </c>
      <c r="AG52" s="68">
        <v>160</v>
      </c>
      <c r="AH52" s="68">
        <v>491</v>
      </c>
      <c r="AI52" s="68">
        <v>658</v>
      </c>
      <c r="AJ52" s="68"/>
      <c r="AK52" s="68" t="s">
        <v>1229</v>
      </c>
      <c r="AL52" s="68"/>
      <c r="AM52" s="72" t="str">
        <f>HYPERLINK("https://t.co/Ag9UvnVYwu")</f>
        <v>https://t.co/Ag9UvnVYwu</v>
      </c>
      <c r="AN52" s="68"/>
      <c r="AO52" s="70">
        <v>44445.09601851852</v>
      </c>
      <c r="AP52" s="72" t="str">
        <f>HYPERLINK("https://pbs.twimg.com/profile_banners/1434702400263131136/1652765345")</f>
        <v>https://pbs.twimg.com/profile_banners/1434702400263131136/1652765345</v>
      </c>
      <c r="AQ52" s="68" t="b">
        <v>1</v>
      </c>
      <c r="AR52" s="68" t="b">
        <v>0</v>
      </c>
      <c r="AS52" s="68" t="b">
        <v>0</v>
      </c>
      <c r="AT52" s="68"/>
      <c r="AU52" s="68">
        <v>0</v>
      </c>
      <c r="AV52" s="68"/>
      <c r="AW52" s="68" t="b">
        <v>0</v>
      </c>
      <c r="AX52" s="68" t="s">
        <v>331</v>
      </c>
      <c r="AY52" s="72" t="str">
        <f>HYPERLINK("https://twitter.com/riseup4cja")</f>
        <v>https://twitter.com/riseup4cja</v>
      </c>
      <c r="AZ52" s="68" t="s">
        <v>66</v>
      </c>
      <c r="BA52" s="67" t="str">
        <f>REPLACE(INDEX(GroupVertices[Group],MATCH(Vertices[[#This Row],[Vertex]],GroupVertices[Vertex],0)),1,1,"")</f>
        <v>3</v>
      </c>
      <c r="BB52" s="49">
        <v>1</v>
      </c>
      <c r="BC52" s="50">
        <v>2.3255813953488373</v>
      </c>
      <c r="BD52" s="49">
        <v>0</v>
      </c>
      <c r="BE52" s="50">
        <v>0</v>
      </c>
      <c r="BF52" s="49">
        <v>0</v>
      </c>
      <c r="BG52" s="50">
        <v>0</v>
      </c>
      <c r="BH52" s="49">
        <v>42</v>
      </c>
      <c r="BI52" s="50">
        <v>97.67441860465117</v>
      </c>
      <c r="BJ52" s="49">
        <v>43</v>
      </c>
      <c r="BK52" s="49"/>
      <c r="BL52" s="49"/>
      <c r="BM52" s="49"/>
      <c r="BN52" s="49"/>
      <c r="BO52" s="49"/>
      <c r="BP52" s="49"/>
      <c r="BQ52" s="92" t="s">
        <v>1934</v>
      </c>
      <c r="BR52" s="92" t="s">
        <v>1934</v>
      </c>
      <c r="BS52" s="92" t="s">
        <v>1861</v>
      </c>
      <c r="BT52" s="92" t="s">
        <v>1861</v>
      </c>
    </row>
    <row r="53" spans="1:72" ht="15">
      <c r="A53" s="66" t="s">
        <v>583</v>
      </c>
      <c r="B53" s="84"/>
      <c r="C53" s="84"/>
      <c r="D53" s="94">
        <v>100</v>
      </c>
      <c r="E53" s="104"/>
      <c r="F53" s="81" t="str">
        <f>HYPERLINK("https://pbs.twimg.com/profile_images/1386472261658451975/SrKrZGVt_normal.jpg")</f>
        <v>https://pbs.twimg.com/profile_images/1386472261658451975/SrKrZGVt_normal.jpg</v>
      </c>
      <c r="G53" s="105"/>
      <c r="H53" s="82" t="s">
        <v>583</v>
      </c>
      <c r="I53" s="97"/>
      <c r="J53" s="106"/>
      <c r="K53" s="82" t="s">
        <v>1399</v>
      </c>
      <c r="L53" s="107">
        <v>1</v>
      </c>
      <c r="M53" s="101">
        <v>3850.819580078125</v>
      </c>
      <c r="N53" s="101">
        <v>5850.90869140625</v>
      </c>
      <c r="O53" s="102"/>
      <c r="P53" s="103"/>
      <c r="Q53" s="103"/>
      <c r="R53" s="108"/>
      <c r="S53" s="49">
        <v>0</v>
      </c>
      <c r="T53" s="49">
        <v>1</v>
      </c>
      <c r="U53" s="50">
        <v>0</v>
      </c>
      <c r="V53" s="50">
        <v>0.053512</v>
      </c>
      <c r="W53" s="50">
        <v>0</v>
      </c>
      <c r="X53" s="50">
        <v>0.007444</v>
      </c>
      <c r="Y53" s="50">
        <v>0</v>
      </c>
      <c r="Z53" s="50">
        <v>0</v>
      </c>
      <c r="AA53" s="98">
        <v>53</v>
      </c>
      <c r="AB53" s="98"/>
      <c r="AC53" s="99"/>
      <c r="AD53" s="68" t="s">
        <v>1013</v>
      </c>
      <c r="AE53" s="73" t="s">
        <v>1122</v>
      </c>
      <c r="AF53" s="68">
        <v>867</v>
      </c>
      <c r="AG53" s="68">
        <v>230</v>
      </c>
      <c r="AH53" s="68">
        <v>21981</v>
      </c>
      <c r="AI53" s="68">
        <v>73965</v>
      </c>
      <c r="AJ53" s="68"/>
      <c r="AK53" s="68" t="s">
        <v>1230</v>
      </c>
      <c r="AL53" s="68"/>
      <c r="AM53" s="68"/>
      <c r="AN53" s="68"/>
      <c r="AO53" s="70">
        <v>44151.07078703704</v>
      </c>
      <c r="AP53" s="68"/>
      <c r="AQ53" s="68" t="b">
        <v>1</v>
      </c>
      <c r="AR53" s="68" t="b">
        <v>0</v>
      </c>
      <c r="AS53" s="68" t="b">
        <v>0</v>
      </c>
      <c r="AT53" s="68"/>
      <c r="AU53" s="68">
        <v>1</v>
      </c>
      <c r="AV53" s="68"/>
      <c r="AW53" s="68" t="b">
        <v>0</v>
      </c>
      <c r="AX53" s="68" t="s">
        <v>331</v>
      </c>
      <c r="AY53" s="72" t="str">
        <f>HYPERLINK("https://twitter.com/peterja27056176")</f>
        <v>https://twitter.com/peterja27056176</v>
      </c>
      <c r="AZ53" s="68" t="s">
        <v>66</v>
      </c>
      <c r="BA53" s="67" t="str">
        <f>REPLACE(INDEX(GroupVertices[Group],MATCH(Vertices[[#This Row],[Vertex]],GroupVertices[Vertex],0)),1,1,"")</f>
        <v>3</v>
      </c>
      <c r="BB53" s="49">
        <v>1</v>
      </c>
      <c r="BC53" s="50">
        <v>2.3255813953488373</v>
      </c>
      <c r="BD53" s="49">
        <v>0</v>
      </c>
      <c r="BE53" s="50">
        <v>0</v>
      </c>
      <c r="BF53" s="49">
        <v>0</v>
      </c>
      <c r="BG53" s="50">
        <v>0</v>
      </c>
      <c r="BH53" s="49">
        <v>42</v>
      </c>
      <c r="BI53" s="50">
        <v>97.67441860465117</v>
      </c>
      <c r="BJ53" s="49">
        <v>43</v>
      </c>
      <c r="BK53" s="49"/>
      <c r="BL53" s="49"/>
      <c r="BM53" s="49"/>
      <c r="BN53" s="49"/>
      <c r="BO53" s="49"/>
      <c r="BP53" s="49"/>
      <c r="BQ53" s="92" t="s">
        <v>1934</v>
      </c>
      <c r="BR53" s="92" t="s">
        <v>1934</v>
      </c>
      <c r="BS53" s="92" t="s">
        <v>1861</v>
      </c>
      <c r="BT53" s="92" t="s">
        <v>1861</v>
      </c>
    </row>
    <row r="54" spans="1:72" ht="15">
      <c r="A54" s="66" t="s">
        <v>584</v>
      </c>
      <c r="B54" s="84"/>
      <c r="C54" s="84"/>
      <c r="D54" s="94">
        <v>100</v>
      </c>
      <c r="E54" s="104"/>
      <c r="F54" s="81" t="str">
        <f>HYPERLINK("https://pbs.twimg.com/profile_images/641906309126754304/MfpI6RtM_normal.jpg")</f>
        <v>https://pbs.twimg.com/profile_images/641906309126754304/MfpI6RtM_normal.jpg</v>
      </c>
      <c r="G54" s="105"/>
      <c r="H54" s="82" t="s">
        <v>584</v>
      </c>
      <c r="I54" s="97"/>
      <c r="J54" s="106"/>
      <c r="K54" s="82" t="s">
        <v>1400</v>
      </c>
      <c r="L54" s="107">
        <v>1</v>
      </c>
      <c r="M54" s="101">
        <v>5251.43115234375</v>
      </c>
      <c r="N54" s="101">
        <v>5643.32470703125</v>
      </c>
      <c r="O54" s="102"/>
      <c r="P54" s="103"/>
      <c r="Q54" s="103"/>
      <c r="R54" s="108"/>
      <c r="S54" s="49">
        <v>0</v>
      </c>
      <c r="T54" s="49">
        <v>1</v>
      </c>
      <c r="U54" s="50">
        <v>0</v>
      </c>
      <c r="V54" s="50">
        <v>0.053512</v>
      </c>
      <c r="W54" s="50">
        <v>0</v>
      </c>
      <c r="X54" s="50">
        <v>0.007444</v>
      </c>
      <c r="Y54" s="50">
        <v>0</v>
      </c>
      <c r="Z54" s="50">
        <v>0</v>
      </c>
      <c r="AA54" s="98">
        <v>54</v>
      </c>
      <c r="AB54" s="98"/>
      <c r="AC54" s="99"/>
      <c r="AD54" s="68" t="s">
        <v>1014</v>
      </c>
      <c r="AE54" s="73" t="s">
        <v>1123</v>
      </c>
      <c r="AF54" s="68">
        <v>2651</v>
      </c>
      <c r="AG54" s="68">
        <v>24939</v>
      </c>
      <c r="AH54" s="68">
        <v>21382</v>
      </c>
      <c r="AI54" s="68">
        <v>4238</v>
      </c>
      <c r="AJ54" s="68"/>
      <c r="AK54" s="68" t="s">
        <v>1231</v>
      </c>
      <c r="AL54" s="68" t="s">
        <v>1319</v>
      </c>
      <c r="AM54" s="72" t="str">
        <f>HYPERLINK("https://t.co/nBFyTxncYh")</f>
        <v>https://t.co/nBFyTxncYh</v>
      </c>
      <c r="AN54" s="68"/>
      <c r="AO54" s="70">
        <v>39904.02763888889</v>
      </c>
      <c r="AP54" s="72" t="str">
        <f>HYPERLINK("https://pbs.twimg.com/profile_banners/28008289/1442312619")</f>
        <v>https://pbs.twimg.com/profile_banners/28008289/1442312619</v>
      </c>
      <c r="AQ54" s="68" t="b">
        <v>0</v>
      </c>
      <c r="AR54" s="68" t="b">
        <v>0</v>
      </c>
      <c r="AS54" s="68" t="b">
        <v>0</v>
      </c>
      <c r="AT54" s="68"/>
      <c r="AU54" s="68">
        <v>294</v>
      </c>
      <c r="AV54" s="72" t="str">
        <f>HYPERLINK("https://abs.twimg.com/images/themes/theme13/bg.gif")</f>
        <v>https://abs.twimg.com/images/themes/theme13/bg.gif</v>
      </c>
      <c r="AW54" s="68" t="b">
        <v>0</v>
      </c>
      <c r="AX54" s="68" t="s">
        <v>331</v>
      </c>
      <c r="AY54" s="72" t="str">
        <f>HYPERLINK("https://twitter.com/russelnorman")</f>
        <v>https://twitter.com/russelnorman</v>
      </c>
      <c r="AZ54" s="68" t="s">
        <v>66</v>
      </c>
      <c r="BA54" s="67" t="str">
        <f>REPLACE(INDEX(GroupVertices[Group],MATCH(Vertices[[#This Row],[Vertex]],GroupVertices[Vertex],0)),1,1,"")</f>
        <v>3</v>
      </c>
      <c r="BB54" s="49">
        <v>1</v>
      </c>
      <c r="BC54" s="50">
        <v>2.3255813953488373</v>
      </c>
      <c r="BD54" s="49">
        <v>0</v>
      </c>
      <c r="BE54" s="50">
        <v>0</v>
      </c>
      <c r="BF54" s="49">
        <v>0</v>
      </c>
      <c r="BG54" s="50">
        <v>0</v>
      </c>
      <c r="BH54" s="49">
        <v>42</v>
      </c>
      <c r="BI54" s="50">
        <v>97.67441860465117</v>
      </c>
      <c r="BJ54" s="49">
        <v>43</v>
      </c>
      <c r="BK54" s="49"/>
      <c r="BL54" s="49"/>
      <c r="BM54" s="49"/>
      <c r="BN54" s="49"/>
      <c r="BO54" s="49"/>
      <c r="BP54" s="49"/>
      <c r="BQ54" s="92" t="s">
        <v>1934</v>
      </c>
      <c r="BR54" s="92" t="s">
        <v>1934</v>
      </c>
      <c r="BS54" s="92" t="s">
        <v>1861</v>
      </c>
      <c r="BT54" s="92" t="s">
        <v>1861</v>
      </c>
    </row>
    <row r="55" spans="1:72" ht="15">
      <c r="A55" s="66" t="s">
        <v>585</v>
      </c>
      <c r="B55" s="84"/>
      <c r="C55" s="84"/>
      <c r="D55" s="94">
        <v>100</v>
      </c>
      <c r="E55" s="104"/>
      <c r="F55" s="81" t="str">
        <f>HYPERLINK("https://pbs.twimg.com/profile_images/911719554346131457/tqzYif_V_normal.jpg")</f>
        <v>https://pbs.twimg.com/profile_images/911719554346131457/tqzYif_V_normal.jpg</v>
      </c>
      <c r="G55" s="105"/>
      <c r="H55" s="82" t="s">
        <v>585</v>
      </c>
      <c r="I55" s="97"/>
      <c r="J55" s="106"/>
      <c r="K55" s="82" t="s">
        <v>1401</v>
      </c>
      <c r="L55" s="107">
        <v>1</v>
      </c>
      <c r="M55" s="101">
        <v>600.5513916015625</v>
      </c>
      <c r="N55" s="101">
        <v>5577.44921875</v>
      </c>
      <c r="O55" s="102"/>
      <c r="P55" s="103"/>
      <c r="Q55" s="103"/>
      <c r="R55" s="108"/>
      <c r="S55" s="49">
        <v>0</v>
      </c>
      <c r="T55" s="49">
        <v>1</v>
      </c>
      <c r="U55" s="50">
        <v>0</v>
      </c>
      <c r="V55" s="50">
        <v>0.100475</v>
      </c>
      <c r="W55" s="50">
        <v>0.138558</v>
      </c>
      <c r="X55" s="50">
        <v>0.007406</v>
      </c>
      <c r="Y55" s="50">
        <v>0</v>
      </c>
      <c r="Z55" s="50">
        <v>0</v>
      </c>
      <c r="AA55" s="98">
        <v>55</v>
      </c>
      <c r="AB55" s="98"/>
      <c r="AC55" s="99"/>
      <c r="AD55" s="68" t="s">
        <v>1015</v>
      </c>
      <c r="AE55" s="73" t="s">
        <v>1124</v>
      </c>
      <c r="AF55" s="68">
        <v>1833</v>
      </c>
      <c r="AG55" s="68">
        <v>1220</v>
      </c>
      <c r="AH55" s="68">
        <v>25909</v>
      </c>
      <c r="AI55" s="68">
        <v>35926</v>
      </c>
      <c r="AJ55" s="68"/>
      <c r="AK55" s="68" t="s">
        <v>1232</v>
      </c>
      <c r="AL55" s="68" t="s">
        <v>1320</v>
      </c>
      <c r="AM55" s="68"/>
      <c r="AN55" s="68"/>
      <c r="AO55" s="70">
        <v>39891.46555555556</v>
      </c>
      <c r="AP55" s="72" t="str">
        <f>HYPERLINK("https://pbs.twimg.com/profile_banners/25270260/1476337622")</f>
        <v>https://pbs.twimg.com/profile_banners/25270260/1476337622</v>
      </c>
      <c r="AQ55" s="68" t="b">
        <v>0</v>
      </c>
      <c r="AR55" s="68" t="b">
        <v>0</v>
      </c>
      <c r="AS55" s="68" t="b">
        <v>1</v>
      </c>
      <c r="AT55" s="68"/>
      <c r="AU55" s="68">
        <v>52</v>
      </c>
      <c r="AV55" s="72" t="str">
        <f>HYPERLINK("https://abs.twimg.com/images/themes/theme1/bg.png")</f>
        <v>https://abs.twimg.com/images/themes/theme1/bg.png</v>
      </c>
      <c r="AW55" s="68" t="b">
        <v>0</v>
      </c>
      <c r="AX55" s="68" t="s">
        <v>331</v>
      </c>
      <c r="AY55" s="72" t="str">
        <f>HYPERLINK("https://twitter.com/brianborunz")</f>
        <v>https://twitter.com/brianborunz</v>
      </c>
      <c r="AZ55" s="68" t="s">
        <v>66</v>
      </c>
      <c r="BA55" s="67" t="str">
        <f>REPLACE(INDEX(GroupVertices[Group],MATCH(Vertices[[#This Row],[Vertex]],GroupVertices[Vertex],0)),1,1,"")</f>
        <v>1</v>
      </c>
      <c r="BB55" s="49">
        <v>1</v>
      </c>
      <c r="BC55" s="50">
        <v>2.272727272727273</v>
      </c>
      <c r="BD55" s="49">
        <v>0</v>
      </c>
      <c r="BE55" s="50">
        <v>0</v>
      </c>
      <c r="BF55" s="49">
        <v>0</v>
      </c>
      <c r="BG55" s="50">
        <v>0</v>
      </c>
      <c r="BH55" s="49">
        <v>43</v>
      </c>
      <c r="BI55" s="50">
        <v>97.72727272727273</v>
      </c>
      <c r="BJ55" s="49">
        <v>44</v>
      </c>
      <c r="BK55" s="49"/>
      <c r="BL55" s="49"/>
      <c r="BM55" s="49"/>
      <c r="BN55" s="49"/>
      <c r="BO55" s="49"/>
      <c r="BP55" s="49"/>
      <c r="BQ55" s="92" t="s">
        <v>1931</v>
      </c>
      <c r="BR55" s="92" t="s">
        <v>1931</v>
      </c>
      <c r="BS55" s="92" t="s">
        <v>1974</v>
      </c>
      <c r="BT55" s="92" t="s">
        <v>1974</v>
      </c>
    </row>
    <row r="56" spans="1:72" ht="15">
      <c r="A56" s="66" t="s">
        <v>586</v>
      </c>
      <c r="B56" s="84"/>
      <c r="C56" s="84"/>
      <c r="D56" s="94">
        <v>100</v>
      </c>
      <c r="E56" s="104"/>
      <c r="F56" s="81" t="str">
        <f>HYPERLINK("https://pbs.twimg.com/profile_images/1339869553237446661/RhTjPeSb_normal.jpg")</f>
        <v>https://pbs.twimg.com/profile_images/1339869553237446661/RhTjPeSb_normal.jpg</v>
      </c>
      <c r="G56" s="105"/>
      <c r="H56" s="82" t="s">
        <v>586</v>
      </c>
      <c r="I56" s="97"/>
      <c r="J56" s="106"/>
      <c r="K56" s="82" t="s">
        <v>1402</v>
      </c>
      <c r="L56" s="107">
        <v>1</v>
      </c>
      <c r="M56" s="101">
        <v>7026.13330078125</v>
      </c>
      <c r="N56" s="101">
        <v>1249.875</v>
      </c>
      <c r="O56" s="102"/>
      <c r="P56" s="103"/>
      <c r="Q56" s="103"/>
      <c r="R56" s="108"/>
      <c r="S56" s="49">
        <v>2</v>
      </c>
      <c r="T56" s="49">
        <v>1</v>
      </c>
      <c r="U56" s="50">
        <v>0</v>
      </c>
      <c r="V56" s="50">
        <v>0.008547</v>
      </c>
      <c r="W56" s="50">
        <v>0</v>
      </c>
      <c r="X56" s="50">
        <v>0.009066</v>
      </c>
      <c r="Y56" s="50">
        <v>0</v>
      </c>
      <c r="Z56" s="50">
        <v>0</v>
      </c>
      <c r="AA56" s="98">
        <v>56</v>
      </c>
      <c r="AB56" s="98"/>
      <c r="AC56" s="99"/>
      <c r="AD56" s="68" t="s">
        <v>1016</v>
      </c>
      <c r="AE56" s="73" t="s">
        <v>1125</v>
      </c>
      <c r="AF56" s="68">
        <v>571</v>
      </c>
      <c r="AG56" s="68">
        <v>54820</v>
      </c>
      <c r="AH56" s="68">
        <v>273656</v>
      </c>
      <c r="AI56" s="68">
        <v>553</v>
      </c>
      <c r="AJ56" s="68"/>
      <c r="AK56" s="68" t="s">
        <v>1233</v>
      </c>
      <c r="AL56" s="68" t="s">
        <v>326</v>
      </c>
      <c r="AM56" s="72" t="str">
        <f>HYPERLINK("http://t.co/6GrXbIQhTX")</f>
        <v>http://t.co/6GrXbIQhTX</v>
      </c>
      <c r="AN56" s="68"/>
      <c r="AO56" s="70">
        <v>39567.83594907408</v>
      </c>
      <c r="AP56" s="72" t="str">
        <f>HYPERLINK("https://pbs.twimg.com/profile_banners/14589909/1626077225")</f>
        <v>https://pbs.twimg.com/profile_banners/14589909/1626077225</v>
      </c>
      <c r="AQ56" s="68" t="b">
        <v>0</v>
      </c>
      <c r="AR56" s="68" t="b">
        <v>0</v>
      </c>
      <c r="AS56" s="68" t="b">
        <v>0</v>
      </c>
      <c r="AT56" s="68"/>
      <c r="AU56" s="68">
        <v>689</v>
      </c>
      <c r="AV56" s="72" t="str">
        <f>HYPERLINK("https://abs.twimg.com/images/themes/theme1/bg.png")</f>
        <v>https://abs.twimg.com/images/themes/theme1/bg.png</v>
      </c>
      <c r="AW56" s="68" t="b">
        <v>1</v>
      </c>
      <c r="AX56" s="68" t="s">
        <v>331</v>
      </c>
      <c r="AY56" s="72" t="str">
        <f>HYPERLINK("https://twitter.com/newstalkzb")</f>
        <v>https://twitter.com/newstalkzb</v>
      </c>
      <c r="AZ56" s="68" t="s">
        <v>66</v>
      </c>
      <c r="BA56" s="67" t="str">
        <f>REPLACE(INDEX(GroupVertices[Group],MATCH(Vertices[[#This Row],[Vertex]],GroupVertices[Vertex],0)),1,1,"")</f>
        <v>21</v>
      </c>
      <c r="BB56" s="49">
        <v>0</v>
      </c>
      <c r="BC56" s="50">
        <v>0</v>
      </c>
      <c r="BD56" s="49">
        <v>0</v>
      </c>
      <c r="BE56" s="50">
        <v>0</v>
      </c>
      <c r="BF56" s="49">
        <v>0</v>
      </c>
      <c r="BG56" s="50">
        <v>0</v>
      </c>
      <c r="BH56" s="49">
        <v>15</v>
      </c>
      <c r="BI56" s="50">
        <v>100</v>
      </c>
      <c r="BJ56" s="49">
        <v>15</v>
      </c>
      <c r="BK56" s="49" t="s">
        <v>1712</v>
      </c>
      <c r="BL56" s="49" t="s">
        <v>1712</v>
      </c>
      <c r="BM56" s="49" t="s">
        <v>269</v>
      </c>
      <c r="BN56" s="49" t="s">
        <v>269</v>
      </c>
      <c r="BO56" s="49"/>
      <c r="BP56" s="49"/>
      <c r="BQ56" s="92" t="s">
        <v>1935</v>
      </c>
      <c r="BR56" s="92" t="s">
        <v>1935</v>
      </c>
      <c r="BS56" s="92" t="s">
        <v>1976</v>
      </c>
      <c r="BT56" s="92" t="s">
        <v>1976</v>
      </c>
    </row>
    <row r="57" spans="1:72" ht="15">
      <c r="A57" s="66" t="s">
        <v>587</v>
      </c>
      <c r="B57" s="84"/>
      <c r="C57" s="84"/>
      <c r="D57" s="94">
        <v>100</v>
      </c>
      <c r="E57" s="104"/>
      <c r="F57" s="81" t="str">
        <f>HYPERLINK("https://pbs.twimg.com/profile_images/1199432744800931840/s3kZhXK2_normal.png")</f>
        <v>https://pbs.twimg.com/profile_images/1199432744800931840/s3kZhXK2_normal.png</v>
      </c>
      <c r="G57" s="105"/>
      <c r="H57" s="82" t="s">
        <v>587</v>
      </c>
      <c r="I57" s="97"/>
      <c r="J57" s="106"/>
      <c r="K57" s="82" t="s">
        <v>1403</v>
      </c>
      <c r="L57" s="107">
        <v>1</v>
      </c>
      <c r="M57" s="101">
        <v>7026.13330078125</v>
      </c>
      <c r="N57" s="101">
        <v>566.0868530273438</v>
      </c>
      <c r="O57" s="102"/>
      <c r="P57" s="103"/>
      <c r="Q57" s="103"/>
      <c r="R57" s="108"/>
      <c r="S57" s="49">
        <v>0</v>
      </c>
      <c r="T57" s="49">
        <v>1</v>
      </c>
      <c r="U57" s="50">
        <v>0</v>
      </c>
      <c r="V57" s="50">
        <v>0.008547</v>
      </c>
      <c r="W57" s="50">
        <v>0</v>
      </c>
      <c r="X57" s="50">
        <v>0.007883</v>
      </c>
      <c r="Y57" s="50">
        <v>0</v>
      </c>
      <c r="Z57" s="50">
        <v>0</v>
      </c>
      <c r="AA57" s="98">
        <v>57</v>
      </c>
      <c r="AB57" s="98"/>
      <c r="AC57" s="99"/>
      <c r="AD57" s="68" t="s">
        <v>1017</v>
      </c>
      <c r="AE57" s="73" t="s">
        <v>1126</v>
      </c>
      <c r="AF57" s="68">
        <v>640</v>
      </c>
      <c r="AG57" s="68">
        <v>17017</v>
      </c>
      <c r="AH57" s="68">
        <v>9038</v>
      </c>
      <c r="AI57" s="68">
        <v>1285</v>
      </c>
      <c r="AJ57" s="68"/>
      <c r="AK57" s="68" t="s">
        <v>1234</v>
      </c>
      <c r="AL57" s="68" t="s">
        <v>1313</v>
      </c>
      <c r="AM57" s="72" t="str">
        <f>HYPERLINK("https://t.co/TQBwykq8Q3")</f>
        <v>https://t.co/TQBwykq8Q3</v>
      </c>
      <c r="AN57" s="68"/>
      <c r="AO57" s="70">
        <v>40504.11311342593</v>
      </c>
      <c r="AP57" s="72" t="str">
        <f>HYPERLINK("https://pbs.twimg.com/profile_banners/218343330/1542058548")</f>
        <v>https://pbs.twimg.com/profile_banners/218343330/1542058548</v>
      </c>
      <c r="AQ57" s="68" t="b">
        <v>0</v>
      </c>
      <c r="AR57" s="68" t="b">
        <v>0</v>
      </c>
      <c r="AS57" s="68" t="b">
        <v>0</v>
      </c>
      <c r="AT57" s="68"/>
      <c r="AU57" s="68">
        <v>183</v>
      </c>
      <c r="AV57" s="72" t="str">
        <f>HYPERLINK("https://abs.twimg.com/images/themes/theme1/bg.png")</f>
        <v>https://abs.twimg.com/images/themes/theme1/bg.png</v>
      </c>
      <c r="AW57" s="68" t="b">
        <v>0</v>
      </c>
      <c r="AX57" s="68" t="s">
        <v>331</v>
      </c>
      <c r="AY57" s="72" t="str">
        <f>HYPERLINK("https://twitter.com/wellingtonuni")</f>
        <v>https://twitter.com/wellingtonuni</v>
      </c>
      <c r="AZ57" s="68" t="s">
        <v>66</v>
      </c>
      <c r="BA57" s="67" t="str">
        <f>REPLACE(INDEX(GroupVertices[Group],MATCH(Vertices[[#This Row],[Vertex]],GroupVertices[Vertex],0)),1,1,"")</f>
        <v>21</v>
      </c>
      <c r="BB57" s="49">
        <v>1</v>
      </c>
      <c r="BC57" s="50">
        <v>3.0303030303030303</v>
      </c>
      <c r="BD57" s="49">
        <v>1</v>
      </c>
      <c r="BE57" s="50">
        <v>3.0303030303030303</v>
      </c>
      <c r="BF57" s="49">
        <v>0</v>
      </c>
      <c r="BG57" s="50">
        <v>0</v>
      </c>
      <c r="BH57" s="49">
        <v>31</v>
      </c>
      <c r="BI57" s="50">
        <v>93.93939393939394</v>
      </c>
      <c r="BJ57" s="49">
        <v>33</v>
      </c>
      <c r="BK57" s="49" t="s">
        <v>1712</v>
      </c>
      <c r="BL57" s="49" t="s">
        <v>1712</v>
      </c>
      <c r="BM57" s="49" t="s">
        <v>269</v>
      </c>
      <c r="BN57" s="49" t="s">
        <v>269</v>
      </c>
      <c r="BO57" s="49" t="s">
        <v>715</v>
      </c>
      <c r="BP57" s="49" t="s">
        <v>715</v>
      </c>
      <c r="BQ57" s="92" t="s">
        <v>1936</v>
      </c>
      <c r="BR57" s="92" t="s">
        <v>1936</v>
      </c>
      <c r="BS57" s="92" t="s">
        <v>1977</v>
      </c>
      <c r="BT57" s="92" t="s">
        <v>1977</v>
      </c>
    </row>
    <row r="58" spans="1:72" ht="15">
      <c r="A58" s="66" t="s">
        <v>588</v>
      </c>
      <c r="B58" s="84"/>
      <c r="C58" s="84"/>
      <c r="D58" s="94">
        <v>100</v>
      </c>
      <c r="E58" s="104"/>
      <c r="F58" s="81" t="str">
        <f>HYPERLINK("https://pbs.twimg.com/profile_images/378800000080455804/ad4249ac1021a7901bd5810ae668ab74_normal.png")</f>
        <v>https://pbs.twimg.com/profile_images/378800000080455804/ad4249ac1021a7901bd5810ae668ab74_normal.png</v>
      </c>
      <c r="G58" s="105"/>
      <c r="H58" s="82" t="s">
        <v>588</v>
      </c>
      <c r="I58" s="97"/>
      <c r="J58" s="106"/>
      <c r="K58" s="82" t="s">
        <v>1404</v>
      </c>
      <c r="L58" s="107">
        <v>1</v>
      </c>
      <c r="M58" s="101">
        <v>4356.19384765625</v>
      </c>
      <c r="N58" s="101">
        <v>9734.453125</v>
      </c>
      <c r="O58" s="102"/>
      <c r="P58" s="103"/>
      <c r="Q58" s="103"/>
      <c r="R58" s="108"/>
      <c r="S58" s="49">
        <v>0</v>
      </c>
      <c r="T58" s="49">
        <v>1</v>
      </c>
      <c r="U58" s="50">
        <v>0</v>
      </c>
      <c r="V58" s="50">
        <v>0.053512</v>
      </c>
      <c r="W58" s="50">
        <v>0</v>
      </c>
      <c r="X58" s="50">
        <v>0.007444</v>
      </c>
      <c r="Y58" s="50">
        <v>0</v>
      </c>
      <c r="Z58" s="50">
        <v>0</v>
      </c>
      <c r="AA58" s="98">
        <v>58</v>
      </c>
      <c r="AB58" s="98"/>
      <c r="AC58" s="99"/>
      <c r="AD58" s="68" t="s">
        <v>1018</v>
      </c>
      <c r="AE58" s="73" t="s">
        <v>1127</v>
      </c>
      <c r="AF58" s="68">
        <v>389</v>
      </c>
      <c r="AG58" s="68">
        <v>5843</v>
      </c>
      <c r="AH58" s="68">
        <v>87400</v>
      </c>
      <c r="AI58" s="68">
        <v>1</v>
      </c>
      <c r="AJ58" s="68"/>
      <c r="AK58" s="68" t="s">
        <v>1235</v>
      </c>
      <c r="AL58" s="68" t="s">
        <v>326</v>
      </c>
      <c r="AM58" s="72" t="str">
        <f>HYPERLINK("http://t.co/J7zCE1SsZW")</f>
        <v>http://t.co/J7zCE1SsZW</v>
      </c>
      <c r="AN58" s="68"/>
      <c r="AO58" s="70">
        <v>40157.06302083333</v>
      </c>
      <c r="AP58" s="68"/>
      <c r="AQ58" s="68" t="b">
        <v>0</v>
      </c>
      <c r="AR58" s="68" t="b">
        <v>0</v>
      </c>
      <c r="AS58" s="68" t="b">
        <v>0</v>
      </c>
      <c r="AT58" s="68"/>
      <c r="AU58" s="68">
        <v>144</v>
      </c>
      <c r="AV58" s="72" t="str">
        <f>HYPERLINK("https://abs.twimg.com/images/themes/theme1/bg.png")</f>
        <v>https://abs.twimg.com/images/themes/theme1/bg.png</v>
      </c>
      <c r="AW58" s="68" t="b">
        <v>0</v>
      </c>
      <c r="AX58" s="68" t="s">
        <v>331</v>
      </c>
      <c r="AY58" s="72" t="str">
        <f>HYPERLINK("https://twitter.com/norightturnnz")</f>
        <v>https://twitter.com/norightturnnz</v>
      </c>
      <c r="AZ58" s="68" t="s">
        <v>66</v>
      </c>
      <c r="BA58" s="67" t="str">
        <f>REPLACE(INDEX(GroupVertices[Group],MATCH(Vertices[[#This Row],[Vertex]],GroupVertices[Vertex],0)),1,1,"")</f>
        <v>3</v>
      </c>
      <c r="BB58" s="49">
        <v>1</v>
      </c>
      <c r="BC58" s="50">
        <v>2.3255813953488373</v>
      </c>
      <c r="BD58" s="49">
        <v>0</v>
      </c>
      <c r="BE58" s="50">
        <v>0</v>
      </c>
      <c r="BF58" s="49">
        <v>0</v>
      </c>
      <c r="BG58" s="50">
        <v>0</v>
      </c>
      <c r="BH58" s="49">
        <v>42</v>
      </c>
      <c r="BI58" s="50">
        <v>97.67441860465117</v>
      </c>
      <c r="BJ58" s="49">
        <v>43</v>
      </c>
      <c r="BK58" s="49"/>
      <c r="BL58" s="49"/>
      <c r="BM58" s="49"/>
      <c r="BN58" s="49"/>
      <c r="BO58" s="49"/>
      <c r="BP58" s="49"/>
      <c r="BQ58" s="92" t="s">
        <v>1934</v>
      </c>
      <c r="BR58" s="92" t="s">
        <v>1934</v>
      </c>
      <c r="BS58" s="92" t="s">
        <v>1861</v>
      </c>
      <c r="BT58" s="92" t="s">
        <v>1861</v>
      </c>
    </row>
    <row r="59" spans="1:72" ht="15">
      <c r="A59" s="66" t="s">
        <v>589</v>
      </c>
      <c r="B59" s="84"/>
      <c r="C59" s="84"/>
      <c r="D59" s="94">
        <v>100</v>
      </c>
      <c r="E59" s="104"/>
      <c r="F59" s="81" t="str">
        <f>HYPERLINK("https://pbs.twimg.com/profile_images/900528757714243584/lFiaz9wi_normal.jpg")</f>
        <v>https://pbs.twimg.com/profile_images/900528757714243584/lFiaz9wi_normal.jpg</v>
      </c>
      <c r="G59" s="105"/>
      <c r="H59" s="82" t="s">
        <v>589</v>
      </c>
      <c r="I59" s="97"/>
      <c r="J59" s="106"/>
      <c r="K59" s="82" t="s">
        <v>1405</v>
      </c>
      <c r="L59" s="107">
        <v>1</v>
      </c>
      <c r="M59" s="101">
        <v>4657.81591796875</v>
      </c>
      <c r="N59" s="101">
        <v>4769.9609375</v>
      </c>
      <c r="O59" s="102"/>
      <c r="P59" s="103"/>
      <c r="Q59" s="103"/>
      <c r="R59" s="108"/>
      <c r="S59" s="49">
        <v>0</v>
      </c>
      <c r="T59" s="49">
        <v>1</v>
      </c>
      <c r="U59" s="50">
        <v>0</v>
      </c>
      <c r="V59" s="50">
        <v>0.053512</v>
      </c>
      <c r="W59" s="50">
        <v>0</v>
      </c>
      <c r="X59" s="50">
        <v>0.007444</v>
      </c>
      <c r="Y59" s="50">
        <v>0</v>
      </c>
      <c r="Z59" s="50">
        <v>0</v>
      </c>
      <c r="AA59" s="98">
        <v>59</v>
      </c>
      <c r="AB59" s="98"/>
      <c r="AC59" s="99"/>
      <c r="AD59" s="68" t="s">
        <v>1019</v>
      </c>
      <c r="AE59" s="73" t="s">
        <v>1128</v>
      </c>
      <c r="AF59" s="68">
        <v>406</v>
      </c>
      <c r="AG59" s="68">
        <v>512</v>
      </c>
      <c r="AH59" s="68">
        <v>7347</v>
      </c>
      <c r="AI59" s="68">
        <v>6795</v>
      </c>
      <c r="AJ59" s="68"/>
      <c r="AK59" s="68" t="s">
        <v>1236</v>
      </c>
      <c r="AL59" s="68" t="s">
        <v>326</v>
      </c>
      <c r="AM59" s="72" t="str">
        <f>HYPERLINK("http://t.co/vvfACzCh0s")</f>
        <v>http://t.co/vvfACzCh0s</v>
      </c>
      <c r="AN59" s="68"/>
      <c r="AO59" s="70">
        <v>42003.16447916667</v>
      </c>
      <c r="AP59" s="72" t="str">
        <f>HYPERLINK("https://pbs.twimg.com/profile_banners/2951421301/1617926448")</f>
        <v>https://pbs.twimg.com/profile_banners/2951421301/1617926448</v>
      </c>
      <c r="AQ59" s="68" t="b">
        <v>0</v>
      </c>
      <c r="AR59" s="68" t="b">
        <v>0</v>
      </c>
      <c r="AS59" s="68" t="b">
        <v>0</v>
      </c>
      <c r="AT59" s="68"/>
      <c r="AU59" s="68">
        <v>3</v>
      </c>
      <c r="AV59" s="72" t="str">
        <f>HYPERLINK("https://abs.twimg.com/images/themes/theme1/bg.png")</f>
        <v>https://abs.twimg.com/images/themes/theme1/bg.png</v>
      </c>
      <c r="AW59" s="68" t="b">
        <v>0</v>
      </c>
      <c r="AX59" s="68" t="s">
        <v>331</v>
      </c>
      <c r="AY59" s="72" t="str">
        <f>HYPERLINK("https://twitter.com/gplnz")</f>
        <v>https://twitter.com/gplnz</v>
      </c>
      <c r="AZ59" s="68" t="s">
        <v>66</v>
      </c>
      <c r="BA59" s="67" t="str">
        <f>REPLACE(INDEX(GroupVertices[Group],MATCH(Vertices[[#This Row],[Vertex]],GroupVertices[Vertex],0)),1,1,"")</f>
        <v>3</v>
      </c>
      <c r="BB59" s="49">
        <v>1</v>
      </c>
      <c r="BC59" s="50">
        <v>2.3255813953488373</v>
      </c>
      <c r="BD59" s="49">
        <v>0</v>
      </c>
      <c r="BE59" s="50">
        <v>0</v>
      </c>
      <c r="BF59" s="49">
        <v>0</v>
      </c>
      <c r="BG59" s="50">
        <v>0</v>
      </c>
      <c r="BH59" s="49">
        <v>42</v>
      </c>
      <c r="BI59" s="50">
        <v>97.67441860465117</v>
      </c>
      <c r="BJ59" s="49">
        <v>43</v>
      </c>
      <c r="BK59" s="49"/>
      <c r="BL59" s="49"/>
      <c r="BM59" s="49"/>
      <c r="BN59" s="49"/>
      <c r="BO59" s="49"/>
      <c r="BP59" s="49"/>
      <c r="BQ59" s="92" t="s">
        <v>1934</v>
      </c>
      <c r="BR59" s="92" t="s">
        <v>1934</v>
      </c>
      <c r="BS59" s="92" t="s">
        <v>1861</v>
      </c>
      <c r="BT59" s="92" t="s">
        <v>1861</v>
      </c>
    </row>
    <row r="60" spans="1:72" ht="15">
      <c r="A60" s="66" t="s">
        <v>590</v>
      </c>
      <c r="B60" s="84"/>
      <c r="C60" s="84"/>
      <c r="D60" s="94">
        <v>100</v>
      </c>
      <c r="E60" s="104"/>
      <c r="F60" s="81" t="str">
        <f>HYPERLINK("https://pbs.twimg.com/profile_images/988730596888166400/5q2ooFC-_normal.jpg")</f>
        <v>https://pbs.twimg.com/profile_images/988730596888166400/5q2ooFC-_normal.jpg</v>
      </c>
      <c r="G60" s="105"/>
      <c r="H60" s="82" t="s">
        <v>590</v>
      </c>
      <c r="I60" s="97"/>
      <c r="J60" s="106"/>
      <c r="K60" s="82" t="s">
        <v>1406</v>
      </c>
      <c r="L60" s="107">
        <v>1</v>
      </c>
      <c r="M60" s="101">
        <v>7026.13330078125</v>
      </c>
      <c r="N60" s="101">
        <v>3749.625</v>
      </c>
      <c r="O60" s="102"/>
      <c r="P60" s="103"/>
      <c r="Q60" s="103"/>
      <c r="R60" s="108"/>
      <c r="S60" s="49">
        <v>0</v>
      </c>
      <c r="T60" s="49">
        <v>1</v>
      </c>
      <c r="U60" s="50">
        <v>0</v>
      </c>
      <c r="V60" s="50">
        <v>0.008547</v>
      </c>
      <c r="W60" s="50">
        <v>0</v>
      </c>
      <c r="X60" s="50">
        <v>0.008475</v>
      </c>
      <c r="Y60" s="50">
        <v>0</v>
      </c>
      <c r="Z60" s="50">
        <v>0</v>
      </c>
      <c r="AA60" s="98">
        <v>60</v>
      </c>
      <c r="AB60" s="98"/>
      <c r="AC60" s="99"/>
      <c r="AD60" s="68" t="s">
        <v>1020</v>
      </c>
      <c r="AE60" s="73" t="s">
        <v>1129</v>
      </c>
      <c r="AF60" s="68">
        <v>4895</v>
      </c>
      <c r="AG60" s="68">
        <v>4116</v>
      </c>
      <c r="AH60" s="68">
        <v>53214</v>
      </c>
      <c r="AI60" s="68">
        <v>98610</v>
      </c>
      <c r="AJ60" s="68"/>
      <c r="AK60" s="68" t="s">
        <v>1237</v>
      </c>
      <c r="AL60" s="68" t="s">
        <v>1321</v>
      </c>
      <c r="AM60" s="68"/>
      <c r="AN60" s="68"/>
      <c r="AO60" s="70">
        <v>41444.40487268518</v>
      </c>
      <c r="AP60" s="72" t="str">
        <f>HYPERLINK("https://pbs.twimg.com/profile_banners/1530354577/1650965059")</f>
        <v>https://pbs.twimg.com/profile_banners/1530354577/1650965059</v>
      </c>
      <c r="AQ60" s="68" t="b">
        <v>1</v>
      </c>
      <c r="AR60" s="68" t="b">
        <v>0</v>
      </c>
      <c r="AS60" s="68" t="b">
        <v>1</v>
      </c>
      <c r="AT60" s="68"/>
      <c r="AU60" s="68">
        <v>77</v>
      </c>
      <c r="AV60" s="72" t="str">
        <f>HYPERLINK("https://abs.twimg.com/images/themes/theme1/bg.png")</f>
        <v>https://abs.twimg.com/images/themes/theme1/bg.png</v>
      </c>
      <c r="AW60" s="68" t="b">
        <v>0</v>
      </c>
      <c r="AX60" s="68" t="s">
        <v>331</v>
      </c>
      <c r="AY60" s="72" t="str">
        <f>HYPERLINK("https://twitter.com/paulbmcgill")</f>
        <v>https://twitter.com/paulbmcgill</v>
      </c>
      <c r="AZ60" s="68" t="s">
        <v>66</v>
      </c>
      <c r="BA60" s="67" t="str">
        <f>REPLACE(INDEX(GroupVertices[Group],MATCH(Vertices[[#This Row],[Vertex]],GroupVertices[Vertex],0)),1,1,"")</f>
        <v>20</v>
      </c>
      <c r="BB60" s="49">
        <v>0</v>
      </c>
      <c r="BC60" s="50">
        <v>0</v>
      </c>
      <c r="BD60" s="49">
        <v>0</v>
      </c>
      <c r="BE60" s="50">
        <v>0</v>
      </c>
      <c r="BF60" s="49">
        <v>0</v>
      </c>
      <c r="BG60" s="50">
        <v>0</v>
      </c>
      <c r="BH60" s="49">
        <v>55</v>
      </c>
      <c r="BI60" s="50">
        <v>100</v>
      </c>
      <c r="BJ60" s="49">
        <v>55</v>
      </c>
      <c r="BK60" s="49"/>
      <c r="BL60" s="49"/>
      <c r="BM60" s="49"/>
      <c r="BN60" s="49"/>
      <c r="BO60" s="49"/>
      <c r="BP60" s="49"/>
      <c r="BQ60" s="92" t="s">
        <v>1937</v>
      </c>
      <c r="BR60" s="92" t="s">
        <v>1937</v>
      </c>
      <c r="BS60" s="92" t="s">
        <v>1978</v>
      </c>
      <c r="BT60" s="92" t="s">
        <v>1978</v>
      </c>
    </row>
    <row r="61" spans="1:72" ht="15">
      <c r="A61" s="66" t="s">
        <v>643</v>
      </c>
      <c r="B61" s="84"/>
      <c r="C61" s="84"/>
      <c r="D61" s="94">
        <v>100</v>
      </c>
      <c r="E61" s="104"/>
      <c r="F61" s="81" t="str">
        <f>HYPERLINK("https://pbs.twimg.com/profile_images/2327175991/gerald-copy_normal.jpg")</f>
        <v>https://pbs.twimg.com/profile_images/2327175991/gerald-copy_normal.jpg</v>
      </c>
      <c r="G61" s="105"/>
      <c r="H61" s="82" t="s">
        <v>643</v>
      </c>
      <c r="I61" s="97"/>
      <c r="J61" s="106"/>
      <c r="K61" s="82" t="s">
        <v>1407</v>
      </c>
      <c r="L61" s="107">
        <v>1</v>
      </c>
      <c r="M61" s="101">
        <v>7026.13330078125</v>
      </c>
      <c r="N61" s="101">
        <v>4433.4130859375</v>
      </c>
      <c r="O61" s="102"/>
      <c r="P61" s="103"/>
      <c r="Q61" s="103"/>
      <c r="R61" s="108"/>
      <c r="S61" s="49">
        <v>1</v>
      </c>
      <c r="T61" s="49">
        <v>0</v>
      </c>
      <c r="U61" s="50">
        <v>0</v>
      </c>
      <c r="V61" s="50">
        <v>0.008547</v>
      </c>
      <c r="W61" s="50">
        <v>0</v>
      </c>
      <c r="X61" s="50">
        <v>0.008475</v>
      </c>
      <c r="Y61" s="50">
        <v>0</v>
      </c>
      <c r="Z61" s="50">
        <v>0</v>
      </c>
      <c r="AA61" s="98">
        <v>61</v>
      </c>
      <c r="AB61" s="98"/>
      <c r="AC61" s="99"/>
      <c r="AD61" s="68" t="s">
        <v>1021</v>
      </c>
      <c r="AE61" s="73" t="s">
        <v>937</v>
      </c>
      <c r="AF61" s="68">
        <v>688</v>
      </c>
      <c r="AG61" s="68">
        <v>929</v>
      </c>
      <c r="AH61" s="68">
        <v>7580</v>
      </c>
      <c r="AI61" s="68">
        <v>1665</v>
      </c>
      <c r="AJ61" s="68"/>
      <c r="AK61" s="68" t="s">
        <v>1238</v>
      </c>
      <c r="AL61" s="68" t="s">
        <v>1322</v>
      </c>
      <c r="AM61" s="68"/>
      <c r="AN61" s="68"/>
      <c r="AO61" s="70">
        <v>41080.08362268518</v>
      </c>
      <c r="AP61" s="68"/>
      <c r="AQ61" s="68" t="b">
        <v>1</v>
      </c>
      <c r="AR61" s="68" t="b">
        <v>0</v>
      </c>
      <c r="AS61" s="68" t="b">
        <v>1</v>
      </c>
      <c r="AT61" s="68"/>
      <c r="AU61" s="68">
        <v>19</v>
      </c>
      <c r="AV61" s="72" t="str">
        <f>HYPERLINK("https://abs.twimg.com/images/themes/theme1/bg.png")</f>
        <v>https://abs.twimg.com/images/themes/theme1/bg.png</v>
      </c>
      <c r="AW61" s="68" t="b">
        <v>0</v>
      </c>
      <c r="AX61" s="68" t="s">
        <v>331</v>
      </c>
      <c r="AY61" s="72" t="str">
        <f>HYPERLINK("https://twitter.com/geraldpiddock")</f>
        <v>https://twitter.com/geraldpiddock</v>
      </c>
      <c r="AZ61" s="68" t="s">
        <v>65</v>
      </c>
      <c r="BA61" s="67" t="str">
        <f>REPLACE(INDEX(GroupVertices[Group],MATCH(Vertices[[#This Row],[Vertex]],GroupVertices[Vertex],0)),1,1,"")</f>
        <v>20</v>
      </c>
      <c r="BB61" s="49"/>
      <c r="BC61" s="50"/>
      <c r="BD61" s="49"/>
      <c r="BE61" s="50"/>
      <c r="BF61" s="49"/>
      <c r="BG61" s="50"/>
      <c r="BH61" s="49"/>
      <c r="BI61" s="50"/>
      <c r="BJ61" s="49"/>
      <c r="BK61" s="49"/>
      <c r="BL61" s="49"/>
      <c r="BM61" s="49"/>
      <c r="BN61" s="49"/>
      <c r="BO61" s="49"/>
      <c r="BP61" s="49"/>
      <c r="BQ61" s="49"/>
      <c r="BR61" s="49"/>
      <c r="BS61" s="49"/>
      <c r="BT61" s="49"/>
    </row>
    <row r="62" spans="1:72" ht="15">
      <c r="A62" s="66" t="s">
        <v>591</v>
      </c>
      <c r="B62" s="84"/>
      <c r="C62" s="84"/>
      <c r="D62" s="94">
        <v>100</v>
      </c>
      <c r="E62" s="104"/>
      <c r="F62" s="81" t="str">
        <f>HYPERLINK("https://pbs.twimg.com/profile_images/1512162081092816897/SDkiFysH_normal.jpg")</f>
        <v>https://pbs.twimg.com/profile_images/1512162081092816897/SDkiFysH_normal.jpg</v>
      </c>
      <c r="G62" s="105"/>
      <c r="H62" s="82" t="s">
        <v>591</v>
      </c>
      <c r="I62" s="97"/>
      <c r="J62" s="106"/>
      <c r="K62" s="82" t="s">
        <v>1408</v>
      </c>
      <c r="L62" s="107">
        <v>1</v>
      </c>
      <c r="M62" s="101">
        <v>4082.906005859375</v>
      </c>
      <c r="N62" s="101">
        <v>8663.7373046875</v>
      </c>
      <c r="O62" s="102"/>
      <c r="P62" s="103"/>
      <c r="Q62" s="103"/>
      <c r="R62" s="108"/>
      <c r="S62" s="49">
        <v>0</v>
      </c>
      <c r="T62" s="49">
        <v>1</v>
      </c>
      <c r="U62" s="50">
        <v>0</v>
      </c>
      <c r="V62" s="50">
        <v>0.053512</v>
      </c>
      <c r="W62" s="50">
        <v>0</v>
      </c>
      <c r="X62" s="50">
        <v>0.007444</v>
      </c>
      <c r="Y62" s="50">
        <v>0</v>
      </c>
      <c r="Z62" s="50">
        <v>0</v>
      </c>
      <c r="AA62" s="98">
        <v>62</v>
      </c>
      <c r="AB62" s="98"/>
      <c r="AC62" s="99"/>
      <c r="AD62" s="68" t="s">
        <v>1022</v>
      </c>
      <c r="AE62" s="73" t="s">
        <v>1130</v>
      </c>
      <c r="AF62" s="68">
        <v>3828</v>
      </c>
      <c r="AG62" s="68">
        <v>4617</v>
      </c>
      <c r="AH62" s="68">
        <v>25388</v>
      </c>
      <c r="AI62" s="68">
        <v>33971</v>
      </c>
      <c r="AJ62" s="68"/>
      <c r="AK62" s="68" t="s">
        <v>1239</v>
      </c>
      <c r="AL62" s="68" t="s">
        <v>1323</v>
      </c>
      <c r="AM62" s="72" t="str">
        <f>HYPERLINK("https://t.co/jefOIy6SIC")</f>
        <v>https://t.co/jefOIy6SIC</v>
      </c>
      <c r="AN62" s="68"/>
      <c r="AO62" s="70">
        <v>40197.09826388889</v>
      </c>
      <c r="AP62" s="72" t="str">
        <f>HYPERLINK("https://pbs.twimg.com/profile_banners/106284796/1628029420")</f>
        <v>https://pbs.twimg.com/profile_banners/106284796/1628029420</v>
      </c>
      <c r="AQ62" s="68" t="b">
        <v>0</v>
      </c>
      <c r="AR62" s="68" t="b">
        <v>0</v>
      </c>
      <c r="AS62" s="68" t="b">
        <v>1</v>
      </c>
      <c r="AT62" s="68"/>
      <c r="AU62" s="68">
        <v>159</v>
      </c>
      <c r="AV62" s="72" t="str">
        <f>HYPERLINK("https://abs.twimg.com/images/themes/theme14/bg.gif")</f>
        <v>https://abs.twimg.com/images/themes/theme14/bg.gif</v>
      </c>
      <c r="AW62" s="68" t="b">
        <v>1</v>
      </c>
      <c r="AX62" s="68" t="s">
        <v>331</v>
      </c>
      <c r="AY62" s="72" t="str">
        <f>HYPERLINK("https://twitter.com/nickofnz")</f>
        <v>https://twitter.com/nickofnz</v>
      </c>
      <c r="AZ62" s="68" t="s">
        <v>66</v>
      </c>
      <c r="BA62" s="67" t="str">
        <f>REPLACE(INDEX(GroupVertices[Group],MATCH(Vertices[[#This Row],[Vertex]],GroupVertices[Vertex],0)),1,1,"")</f>
        <v>3</v>
      </c>
      <c r="BB62" s="49">
        <v>1</v>
      </c>
      <c r="BC62" s="50">
        <v>2.3255813953488373</v>
      </c>
      <c r="BD62" s="49">
        <v>0</v>
      </c>
      <c r="BE62" s="50">
        <v>0</v>
      </c>
      <c r="BF62" s="49">
        <v>0</v>
      </c>
      <c r="BG62" s="50">
        <v>0</v>
      </c>
      <c r="BH62" s="49">
        <v>42</v>
      </c>
      <c r="BI62" s="50">
        <v>97.67441860465117</v>
      </c>
      <c r="BJ62" s="49">
        <v>43</v>
      </c>
      <c r="BK62" s="49"/>
      <c r="BL62" s="49"/>
      <c r="BM62" s="49"/>
      <c r="BN62" s="49"/>
      <c r="BO62" s="49"/>
      <c r="BP62" s="49"/>
      <c r="BQ62" s="92" t="s">
        <v>1934</v>
      </c>
      <c r="BR62" s="92" t="s">
        <v>1934</v>
      </c>
      <c r="BS62" s="92" t="s">
        <v>1861</v>
      </c>
      <c r="BT62" s="92" t="s">
        <v>1861</v>
      </c>
    </row>
    <row r="63" spans="1:72" ht="15">
      <c r="A63" s="66" t="s">
        <v>592</v>
      </c>
      <c r="B63" s="84"/>
      <c r="C63" s="84"/>
      <c r="D63" s="94">
        <v>100</v>
      </c>
      <c r="E63" s="104"/>
      <c r="F63" s="81" t="str">
        <f>HYPERLINK("https://pbs.twimg.com/profile_images/646237560868462597/sZUS7hsi_normal.jpg")</f>
        <v>https://pbs.twimg.com/profile_images/646237560868462597/sZUS7hsi_normal.jpg</v>
      </c>
      <c r="G63" s="105"/>
      <c r="H63" s="82" t="s">
        <v>592</v>
      </c>
      <c r="I63" s="97"/>
      <c r="J63" s="106"/>
      <c r="K63" s="82" t="s">
        <v>1409</v>
      </c>
      <c r="L63" s="107">
        <v>1</v>
      </c>
      <c r="M63" s="101">
        <v>5029.876953125</v>
      </c>
      <c r="N63" s="101">
        <v>3954.271240234375</v>
      </c>
      <c r="O63" s="102"/>
      <c r="P63" s="103"/>
      <c r="Q63" s="103"/>
      <c r="R63" s="108"/>
      <c r="S63" s="49">
        <v>0</v>
      </c>
      <c r="T63" s="49">
        <v>1</v>
      </c>
      <c r="U63" s="50">
        <v>0</v>
      </c>
      <c r="V63" s="50">
        <v>0.053512</v>
      </c>
      <c r="W63" s="50">
        <v>0</v>
      </c>
      <c r="X63" s="50">
        <v>0.007444</v>
      </c>
      <c r="Y63" s="50">
        <v>0</v>
      </c>
      <c r="Z63" s="50">
        <v>0</v>
      </c>
      <c r="AA63" s="98">
        <v>63</v>
      </c>
      <c r="AB63" s="98"/>
      <c r="AC63" s="99"/>
      <c r="AD63" s="68" t="s">
        <v>1023</v>
      </c>
      <c r="AE63" s="73" t="s">
        <v>1131</v>
      </c>
      <c r="AF63" s="68">
        <v>2326</v>
      </c>
      <c r="AG63" s="68">
        <v>2384</v>
      </c>
      <c r="AH63" s="68">
        <v>120352</v>
      </c>
      <c r="AI63" s="68">
        <v>13212</v>
      </c>
      <c r="AJ63" s="68"/>
      <c r="AK63" s="68" t="s">
        <v>1240</v>
      </c>
      <c r="AL63" s="68"/>
      <c r="AM63" s="68"/>
      <c r="AN63" s="68"/>
      <c r="AO63" s="70">
        <v>40496.820914351854</v>
      </c>
      <c r="AP63" s="72" t="str">
        <f>HYPERLINK("https://pbs.twimg.com/profile_banners/215736272/1442910018")</f>
        <v>https://pbs.twimg.com/profile_banners/215736272/1442910018</v>
      </c>
      <c r="AQ63" s="68" t="b">
        <v>1</v>
      </c>
      <c r="AR63" s="68" t="b">
        <v>0</v>
      </c>
      <c r="AS63" s="68" t="b">
        <v>1</v>
      </c>
      <c r="AT63" s="68"/>
      <c r="AU63" s="68">
        <v>157</v>
      </c>
      <c r="AV63" s="72" t="str">
        <f>HYPERLINK("https://abs.twimg.com/images/themes/theme1/bg.png")</f>
        <v>https://abs.twimg.com/images/themes/theme1/bg.png</v>
      </c>
      <c r="AW63" s="68" t="b">
        <v>0</v>
      </c>
      <c r="AX63" s="68" t="s">
        <v>331</v>
      </c>
      <c r="AY63" s="72" t="str">
        <f>HYPERLINK("https://twitter.com/olivefarmer")</f>
        <v>https://twitter.com/olivefarmer</v>
      </c>
      <c r="AZ63" s="68" t="s">
        <v>66</v>
      </c>
      <c r="BA63" s="67" t="str">
        <f>REPLACE(INDEX(GroupVertices[Group],MATCH(Vertices[[#This Row],[Vertex]],GroupVertices[Vertex],0)),1,1,"")</f>
        <v>3</v>
      </c>
      <c r="BB63" s="49">
        <v>1</v>
      </c>
      <c r="BC63" s="50">
        <v>2.3255813953488373</v>
      </c>
      <c r="BD63" s="49">
        <v>0</v>
      </c>
      <c r="BE63" s="50">
        <v>0</v>
      </c>
      <c r="BF63" s="49">
        <v>0</v>
      </c>
      <c r="BG63" s="50">
        <v>0</v>
      </c>
      <c r="BH63" s="49">
        <v>42</v>
      </c>
      <c r="BI63" s="50">
        <v>97.67441860465117</v>
      </c>
      <c r="BJ63" s="49">
        <v>43</v>
      </c>
      <c r="BK63" s="49"/>
      <c r="BL63" s="49"/>
      <c r="BM63" s="49"/>
      <c r="BN63" s="49"/>
      <c r="BO63" s="49"/>
      <c r="BP63" s="49"/>
      <c r="BQ63" s="92" t="s">
        <v>1934</v>
      </c>
      <c r="BR63" s="92" t="s">
        <v>1934</v>
      </c>
      <c r="BS63" s="92" t="s">
        <v>1861</v>
      </c>
      <c r="BT63" s="92" t="s">
        <v>1861</v>
      </c>
    </row>
    <row r="64" spans="1:72" ht="15">
      <c r="A64" s="66" t="s">
        <v>593</v>
      </c>
      <c r="B64" s="84"/>
      <c r="C64" s="84"/>
      <c r="D64" s="94">
        <v>100</v>
      </c>
      <c r="E64" s="104"/>
      <c r="F64" s="81" t="str">
        <f>HYPERLINK("https://pbs.twimg.com/profile_images/81534353/russb_gravatar_normal.png")</f>
        <v>https://pbs.twimg.com/profile_images/81534353/russb_gravatar_normal.png</v>
      </c>
      <c r="G64" s="105"/>
      <c r="H64" s="82" t="s">
        <v>593</v>
      </c>
      <c r="I64" s="97"/>
      <c r="J64" s="106"/>
      <c r="K64" s="82" t="s">
        <v>1410</v>
      </c>
      <c r="L64" s="107">
        <v>1</v>
      </c>
      <c r="M64" s="101">
        <v>3415.30859375</v>
      </c>
      <c r="N64" s="101">
        <v>5918.43310546875</v>
      </c>
      <c r="O64" s="102"/>
      <c r="P64" s="103"/>
      <c r="Q64" s="103"/>
      <c r="R64" s="108"/>
      <c r="S64" s="49">
        <v>0</v>
      </c>
      <c r="T64" s="49">
        <v>1</v>
      </c>
      <c r="U64" s="50">
        <v>0</v>
      </c>
      <c r="V64" s="50">
        <v>0.100475</v>
      </c>
      <c r="W64" s="50">
        <v>0.138558</v>
      </c>
      <c r="X64" s="50">
        <v>0.007406</v>
      </c>
      <c r="Y64" s="50">
        <v>0</v>
      </c>
      <c r="Z64" s="50">
        <v>0</v>
      </c>
      <c r="AA64" s="98">
        <v>64</v>
      </c>
      <c r="AB64" s="98"/>
      <c r="AC64" s="99"/>
      <c r="AD64" s="68" t="s">
        <v>1024</v>
      </c>
      <c r="AE64" s="73" t="s">
        <v>1132</v>
      </c>
      <c r="AF64" s="68">
        <v>1937</v>
      </c>
      <c r="AG64" s="68">
        <v>69094</v>
      </c>
      <c r="AH64" s="68">
        <v>157126</v>
      </c>
      <c r="AI64" s="68">
        <v>84198</v>
      </c>
      <c r="AJ64" s="68"/>
      <c r="AK64" s="68" t="s">
        <v>1241</v>
      </c>
      <c r="AL64" s="68" t="s">
        <v>1323</v>
      </c>
      <c r="AM64" s="72" t="str">
        <f>HYPERLINK("http://t.co/SCGmJSxTM1")</f>
        <v>http://t.co/SCGmJSxTM1</v>
      </c>
      <c r="AN64" s="68"/>
      <c r="AO64" s="70">
        <v>39799.93241898148</v>
      </c>
      <c r="AP64" s="72" t="str">
        <f>HYPERLINK("https://pbs.twimg.com/profile_banners/18201787/1370403868")</f>
        <v>https://pbs.twimg.com/profile_banners/18201787/1370403868</v>
      </c>
      <c r="AQ64" s="68" t="b">
        <v>0</v>
      </c>
      <c r="AR64" s="68" t="b">
        <v>0</v>
      </c>
      <c r="AS64" s="68" t="b">
        <v>1</v>
      </c>
      <c r="AT64" s="68"/>
      <c r="AU64" s="68">
        <v>546</v>
      </c>
      <c r="AV64" s="72" t="str">
        <f>HYPERLINK("https://abs.twimg.com/images/themes/theme4/bg.gif")</f>
        <v>https://abs.twimg.com/images/themes/theme4/bg.gif</v>
      </c>
      <c r="AW64" s="68" t="b">
        <v>0</v>
      </c>
      <c r="AX64" s="68" t="s">
        <v>331</v>
      </c>
      <c r="AY64" s="72" t="str">
        <f>HYPERLINK("https://twitter.com/publicaddress")</f>
        <v>https://twitter.com/publicaddress</v>
      </c>
      <c r="AZ64" s="68" t="s">
        <v>66</v>
      </c>
      <c r="BA64" s="67" t="str">
        <f>REPLACE(INDEX(GroupVertices[Group],MATCH(Vertices[[#This Row],[Vertex]],GroupVertices[Vertex],0)),1,1,"")</f>
        <v>1</v>
      </c>
      <c r="BB64" s="49">
        <v>2</v>
      </c>
      <c r="BC64" s="50">
        <v>4</v>
      </c>
      <c r="BD64" s="49">
        <v>0</v>
      </c>
      <c r="BE64" s="50">
        <v>0</v>
      </c>
      <c r="BF64" s="49">
        <v>0</v>
      </c>
      <c r="BG64" s="50">
        <v>0</v>
      </c>
      <c r="BH64" s="49">
        <v>48</v>
      </c>
      <c r="BI64" s="50">
        <v>96</v>
      </c>
      <c r="BJ64" s="49">
        <v>50</v>
      </c>
      <c r="BK64" s="49"/>
      <c r="BL64" s="49"/>
      <c r="BM64" s="49"/>
      <c r="BN64" s="49"/>
      <c r="BO64" s="49"/>
      <c r="BP64" s="49"/>
      <c r="BQ64" s="92" t="s">
        <v>1933</v>
      </c>
      <c r="BR64" s="92" t="s">
        <v>1933</v>
      </c>
      <c r="BS64" s="92" t="s">
        <v>1975</v>
      </c>
      <c r="BT64" s="92" t="s">
        <v>1975</v>
      </c>
    </row>
    <row r="65" spans="1:72" ht="15">
      <c r="A65" s="66" t="s">
        <v>594</v>
      </c>
      <c r="B65" s="84"/>
      <c r="C65" s="84"/>
      <c r="D65" s="94">
        <v>100</v>
      </c>
      <c r="E65" s="104"/>
      <c r="F65" s="81" t="str">
        <f>HYPERLINK("https://pbs.twimg.com/profile_images/1508682462410715137/nuOx04UL_normal.jpg")</f>
        <v>https://pbs.twimg.com/profile_images/1508682462410715137/nuOx04UL_normal.jpg</v>
      </c>
      <c r="G65" s="105"/>
      <c r="H65" s="82" t="s">
        <v>594</v>
      </c>
      <c r="I65" s="97"/>
      <c r="J65" s="106"/>
      <c r="K65" s="82" t="s">
        <v>1411</v>
      </c>
      <c r="L65" s="107">
        <v>1</v>
      </c>
      <c r="M65" s="101">
        <v>2434.607421875</v>
      </c>
      <c r="N65" s="101">
        <v>8481.6015625</v>
      </c>
      <c r="O65" s="102"/>
      <c r="P65" s="103"/>
      <c r="Q65" s="103"/>
      <c r="R65" s="108"/>
      <c r="S65" s="49">
        <v>0</v>
      </c>
      <c r="T65" s="49">
        <v>1</v>
      </c>
      <c r="U65" s="50">
        <v>0</v>
      </c>
      <c r="V65" s="50">
        <v>0.100475</v>
      </c>
      <c r="W65" s="50">
        <v>0.138558</v>
      </c>
      <c r="X65" s="50">
        <v>0.007406</v>
      </c>
      <c r="Y65" s="50">
        <v>0</v>
      </c>
      <c r="Z65" s="50">
        <v>0</v>
      </c>
      <c r="AA65" s="98">
        <v>65</v>
      </c>
      <c r="AB65" s="98"/>
      <c r="AC65" s="99"/>
      <c r="AD65" s="68" t="s">
        <v>1025</v>
      </c>
      <c r="AE65" s="73" t="s">
        <v>1133</v>
      </c>
      <c r="AF65" s="68">
        <v>2495</v>
      </c>
      <c r="AG65" s="68">
        <v>318</v>
      </c>
      <c r="AH65" s="68">
        <v>95696</v>
      </c>
      <c r="AI65" s="68">
        <v>990</v>
      </c>
      <c r="AJ65" s="68"/>
      <c r="AK65" s="68" t="s">
        <v>1242</v>
      </c>
      <c r="AL65" s="68" t="s">
        <v>1324</v>
      </c>
      <c r="AM65" s="68"/>
      <c r="AN65" s="68"/>
      <c r="AO65" s="70">
        <v>39896.25033564815</v>
      </c>
      <c r="AP65" s="72" t="str">
        <f>HYPERLINK("https://pbs.twimg.com/profile_banners/26188152/1555900417")</f>
        <v>https://pbs.twimg.com/profile_banners/26188152/1555900417</v>
      </c>
      <c r="AQ65" s="68" t="b">
        <v>0</v>
      </c>
      <c r="AR65" s="68" t="b">
        <v>0</v>
      </c>
      <c r="AS65" s="68" t="b">
        <v>1</v>
      </c>
      <c r="AT65" s="68"/>
      <c r="AU65" s="68">
        <v>4</v>
      </c>
      <c r="AV65" s="72" t="str">
        <f>HYPERLINK("https://abs.twimg.com/images/themes/theme18/bg.gif")</f>
        <v>https://abs.twimg.com/images/themes/theme18/bg.gif</v>
      </c>
      <c r="AW65" s="68" t="b">
        <v>0</v>
      </c>
      <c r="AX65" s="68" t="s">
        <v>331</v>
      </c>
      <c r="AY65" s="72" t="str">
        <f>HYPERLINK("https://twitter.com/bigfunk__")</f>
        <v>https://twitter.com/bigfunk__</v>
      </c>
      <c r="AZ65" s="68" t="s">
        <v>66</v>
      </c>
      <c r="BA65" s="67" t="str">
        <f>REPLACE(INDEX(GroupVertices[Group],MATCH(Vertices[[#This Row],[Vertex]],GroupVertices[Vertex],0)),1,1,"")</f>
        <v>1</v>
      </c>
      <c r="BB65" s="49">
        <v>2</v>
      </c>
      <c r="BC65" s="50">
        <v>4</v>
      </c>
      <c r="BD65" s="49">
        <v>0</v>
      </c>
      <c r="BE65" s="50">
        <v>0</v>
      </c>
      <c r="BF65" s="49">
        <v>0</v>
      </c>
      <c r="BG65" s="50">
        <v>0</v>
      </c>
      <c r="BH65" s="49">
        <v>48</v>
      </c>
      <c r="BI65" s="50">
        <v>96</v>
      </c>
      <c r="BJ65" s="49">
        <v>50</v>
      </c>
      <c r="BK65" s="49"/>
      <c r="BL65" s="49"/>
      <c r="BM65" s="49"/>
      <c r="BN65" s="49"/>
      <c r="BO65" s="49"/>
      <c r="BP65" s="49"/>
      <c r="BQ65" s="92" t="s">
        <v>1933</v>
      </c>
      <c r="BR65" s="92" t="s">
        <v>1933</v>
      </c>
      <c r="BS65" s="92" t="s">
        <v>1975</v>
      </c>
      <c r="BT65" s="92" t="s">
        <v>1975</v>
      </c>
    </row>
    <row r="66" spans="1:72" ht="15">
      <c r="A66" s="66" t="s">
        <v>595</v>
      </c>
      <c r="B66" s="84"/>
      <c r="C66" s="84"/>
      <c r="D66" s="94">
        <v>100</v>
      </c>
      <c r="E66" s="104"/>
      <c r="F66" s="81" t="str">
        <f>HYPERLINK("https://pbs.twimg.com/profile_images/131621671/square_scoop_normal.jpg")</f>
        <v>https://pbs.twimg.com/profile_images/131621671/square_scoop_normal.jpg</v>
      </c>
      <c r="G66" s="105"/>
      <c r="H66" s="82" t="s">
        <v>595</v>
      </c>
      <c r="I66" s="97"/>
      <c r="J66" s="106"/>
      <c r="K66" s="82" t="s">
        <v>1412</v>
      </c>
      <c r="L66" s="107">
        <v>1</v>
      </c>
      <c r="M66" s="101">
        <v>1721.21875</v>
      </c>
      <c r="N66" s="101">
        <v>9734.453125</v>
      </c>
      <c r="O66" s="102"/>
      <c r="P66" s="103"/>
      <c r="Q66" s="103"/>
      <c r="R66" s="108"/>
      <c r="S66" s="49">
        <v>0</v>
      </c>
      <c r="T66" s="49">
        <v>1</v>
      </c>
      <c r="U66" s="50">
        <v>0</v>
      </c>
      <c r="V66" s="50">
        <v>0.100475</v>
      </c>
      <c r="W66" s="50">
        <v>0.138558</v>
      </c>
      <c r="X66" s="50">
        <v>0.007406</v>
      </c>
      <c r="Y66" s="50">
        <v>0</v>
      </c>
      <c r="Z66" s="50">
        <v>0</v>
      </c>
      <c r="AA66" s="98">
        <v>66</v>
      </c>
      <c r="AB66" s="98"/>
      <c r="AC66" s="99"/>
      <c r="AD66" s="68" t="s">
        <v>1026</v>
      </c>
      <c r="AE66" s="73" t="s">
        <v>1134</v>
      </c>
      <c r="AF66" s="68">
        <v>282</v>
      </c>
      <c r="AG66" s="68">
        <v>4957</v>
      </c>
      <c r="AH66" s="68">
        <v>94223</v>
      </c>
      <c r="AI66" s="68">
        <v>7540</v>
      </c>
      <c r="AJ66" s="68"/>
      <c r="AK66" s="68" t="s">
        <v>1243</v>
      </c>
      <c r="AL66" s="68" t="s">
        <v>1313</v>
      </c>
      <c r="AM66" s="72" t="str">
        <f>HYPERLINK("http://t.co/WW980YlP2n")</f>
        <v>http://t.co/WW980YlP2n</v>
      </c>
      <c r="AN66" s="68"/>
      <c r="AO66" s="70">
        <v>39913.33440972222</v>
      </c>
      <c r="AP66" s="68"/>
      <c r="AQ66" s="68" t="b">
        <v>1</v>
      </c>
      <c r="AR66" s="68" t="b">
        <v>0</v>
      </c>
      <c r="AS66" s="68" t="b">
        <v>1</v>
      </c>
      <c r="AT66" s="68"/>
      <c r="AU66" s="68">
        <v>123</v>
      </c>
      <c r="AV66" s="72" t="str">
        <f>HYPERLINK("https://abs.twimg.com/images/themes/theme1/bg.png")</f>
        <v>https://abs.twimg.com/images/themes/theme1/bg.png</v>
      </c>
      <c r="AW66" s="68" t="b">
        <v>0</v>
      </c>
      <c r="AX66" s="68" t="s">
        <v>331</v>
      </c>
      <c r="AY66" s="72" t="str">
        <f>HYPERLINK("https://twitter.com/scoopwellington")</f>
        <v>https://twitter.com/scoopwellington</v>
      </c>
      <c r="AZ66" s="68" t="s">
        <v>66</v>
      </c>
      <c r="BA66" s="67" t="str">
        <f>REPLACE(INDEX(GroupVertices[Group],MATCH(Vertices[[#This Row],[Vertex]],GroupVertices[Vertex],0)),1,1,"")</f>
        <v>1</v>
      </c>
      <c r="BB66" s="49">
        <v>1</v>
      </c>
      <c r="BC66" s="50">
        <v>2.272727272727273</v>
      </c>
      <c r="BD66" s="49">
        <v>0</v>
      </c>
      <c r="BE66" s="50">
        <v>0</v>
      </c>
      <c r="BF66" s="49">
        <v>0</v>
      </c>
      <c r="BG66" s="50">
        <v>0</v>
      </c>
      <c r="BH66" s="49">
        <v>43</v>
      </c>
      <c r="BI66" s="50">
        <v>97.72727272727273</v>
      </c>
      <c r="BJ66" s="49">
        <v>44</v>
      </c>
      <c r="BK66" s="49"/>
      <c r="BL66" s="49"/>
      <c r="BM66" s="49"/>
      <c r="BN66" s="49"/>
      <c r="BO66" s="49"/>
      <c r="BP66" s="49"/>
      <c r="BQ66" s="92" t="s">
        <v>1931</v>
      </c>
      <c r="BR66" s="92" t="s">
        <v>1931</v>
      </c>
      <c r="BS66" s="92" t="s">
        <v>1974</v>
      </c>
      <c r="BT66" s="92" t="s">
        <v>1974</v>
      </c>
    </row>
    <row r="67" spans="1:72" ht="15">
      <c r="A67" s="66" t="s">
        <v>596</v>
      </c>
      <c r="B67" s="84"/>
      <c r="C67" s="84"/>
      <c r="D67" s="94">
        <v>100</v>
      </c>
      <c r="E67" s="104"/>
      <c r="F67" s="81" t="str">
        <f>HYPERLINK("https://pbs.twimg.com/profile_images/957033521633099776/lnEjrroe_normal.jpg")</f>
        <v>https://pbs.twimg.com/profile_images/957033521633099776/lnEjrroe_normal.jpg</v>
      </c>
      <c r="G67" s="105"/>
      <c r="H67" s="82" t="s">
        <v>596</v>
      </c>
      <c r="I67" s="97"/>
      <c r="J67" s="106"/>
      <c r="K67" s="82" t="s">
        <v>1413</v>
      </c>
      <c r="L67" s="107">
        <v>1</v>
      </c>
      <c r="M67" s="101">
        <v>1742.969970703125</v>
      </c>
      <c r="N67" s="101">
        <v>4663.2109375</v>
      </c>
      <c r="O67" s="102"/>
      <c r="P67" s="103"/>
      <c r="Q67" s="103"/>
      <c r="R67" s="108"/>
      <c r="S67" s="49">
        <v>0</v>
      </c>
      <c r="T67" s="49">
        <v>1</v>
      </c>
      <c r="U67" s="50">
        <v>0</v>
      </c>
      <c r="V67" s="50">
        <v>0.100475</v>
      </c>
      <c r="W67" s="50">
        <v>0.138558</v>
      </c>
      <c r="X67" s="50">
        <v>0.007406</v>
      </c>
      <c r="Y67" s="50">
        <v>0</v>
      </c>
      <c r="Z67" s="50">
        <v>0</v>
      </c>
      <c r="AA67" s="98">
        <v>67</v>
      </c>
      <c r="AB67" s="98"/>
      <c r="AC67" s="99"/>
      <c r="AD67" s="68" t="s">
        <v>1027</v>
      </c>
      <c r="AE67" s="73" t="s">
        <v>1135</v>
      </c>
      <c r="AF67" s="68">
        <v>3108</v>
      </c>
      <c r="AG67" s="68">
        <v>25701</v>
      </c>
      <c r="AH67" s="68">
        <v>21967</v>
      </c>
      <c r="AI67" s="68">
        <v>27945</v>
      </c>
      <c r="AJ67" s="68"/>
      <c r="AK67" s="68" t="s">
        <v>1244</v>
      </c>
      <c r="AL67" s="68" t="s">
        <v>960</v>
      </c>
      <c r="AM67" s="72" t="str">
        <f>HYPERLINK("https://t.co/TnMSMfgYdq")</f>
        <v>https://t.co/TnMSMfgYdq</v>
      </c>
      <c r="AN67" s="68"/>
      <c r="AO67" s="70">
        <v>40273.90592592592</v>
      </c>
      <c r="AP67" s="72" t="str">
        <f>HYPERLINK("https://pbs.twimg.com/profile_banners/129943834/1543282310")</f>
        <v>https://pbs.twimg.com/profile_banners/129943834/1543282310</v>
      </c>
      <c r="AQ67" s="68" t="b">
        <v>0</v>
      </c>
      <c r="AR67" s="68" t="b">
        <v>0</v>
      </c>
      <c r="AS67" s="68" t="b">
        <v>1</v>
      </c>
      <c r="AT67" s="68"/>
      <c r="AU67" s="68">
        <v>264</v>
      </c>
      <c r="AV67" s="72" t="str">
        <f>HYPERLINK("https://abs.twimg.com/images/themes/theme14/bg.gif")</f>
        <v>https://abs.twimg.com/images/themes/theme14/bg.gif</v>
      </c>
      <c r="AW67" s="68" t="b">
        <v>1</v>
      </c>
      <c r="AX67" s="68" t="s">
        <v>331</v>
      </c>
      <c r="AY67" s="72" t="str">
        <f>HYPERLINK("https://twitter.com/julieannegenter")</f>
        <v>https://twitter.com/julieannegenter</v>
      </c>
      <c r="AZ67" s="68" t="s">
        <v>66</v>
      </c>
      <c r="BA67" s="67" t="str">
        <f>REPLACE(INDEX(GroupVertices[Group],MATCH(Vertices[[#This Row],[Vertex]],GroupVertices[Vertex],0)),1,1,"")</f>
        <v>1</v>
      </c>
      <c r="BB67" s="49">
        <v>2</v>
      </c>
      <c r="BC67" s="50">
        <v>4</v>
      </c>
      <c r="BD67" s="49">
        <v>0</v>
      </c>
      <c r="BE67" s="50">
        <v>0</v>
      </c>
      <c r="BF67" s="49">
        <v>0</v>
      </c>
      <c r="BG67" s="50">
        <v>0</v>
      </c>
      <c r="BH67" s="49">
        <v>48</v>
      </c>
      <c r="BI67" s="50">
        <v>96</v>
      </c>
      <c r="BJ67" s="49">
        <v>50</v>
      </c>
      <c r="BK67" s="49"/>
      <c r="BL67" s="49"/>
      <c r="BM67" s="49"/>
      <c r="BN67" s="49"/>
      <c r="BO67" s="49"/>
      <c r="BP67" s="49"/>
      <c r="BQ67" s="92" t="s">
        <v>1933</v>
      </c>
      <c r="BR67" s="92" t="s">
        <v>1933</v>
      </c>
      <c r="BS67" s="92" t="s">
        <v>1975</v>
      </c>
      <c r="BT67" s="92" t="s">
        <v>1975</v>
      </c>
    </row>
    <row r="68" spans="1:72" ht="15">
      <c r="A68" s="66" t="s">
        <v>597</v>
      </c>
      <c r="B68" s="84"/>
      <c r="C68" s="84"/>
      <c r="D68" s="94">
        <v>100</v>
      </c>
      <c r="E68" s="104"/>
      <c r="F68" s="81" t="str">
        <f>HYPERLINK("https://pbs.twimg.com/profile_images/1518093307960004608/6YtJq09a_normal.jpg")</f>
        <v>https://pbs.twimg.com/profile_images/1518093307960004608/6YtJq09a_normal.jpg</v>
      </c>
      <c r="G68" s="105"/>
      <c r="H68" s="82" t="s">
        <v>597</v>
      </c>
      <c r="I68" s="97"/>
      <c r="J68" s="106"/>
      <c r="K68" s="82" t="s">
        <v>1414</v>
      </c>
      <c r="L68" s="107">
        <v>1</v>
      </c>
      <c r="M68" s="101">
        <v>1075.57080078125</v>
      </c>
      <c r="N68" s="101">
        <v>4926.68115234375</v>
      </c>
      <c r="O68" s="102"/>
      <c r="P68" s="103"/>
      <c r="Q68" s="103"/>
      <c r="R68" s="108"/>
      <c r="S68" s="49">
        <v>0</v>
      </c>
      <c r="T68" s="49">
        <v>1</v>
      </c>
      <c r="U68" s="50">
        <v>0</v>
      </c>
      <c r="V68" s="50">
        <v>0.100475</v>
      </c>
      <c r="W68" s="50">
        <v>0.138558</v>
      </c>
      <c r="X68" s="50">
        <v>0.007406</v>
      </c>
      <c r="Y68" s="50">
        <v>0</v>
      </c>
      <c r="Z68" s="50">
        <v>0</v>
      </c>
      <c r="AA68" s="98">
        <v>68</v>
      </c>
      <c r="AB68" s="98"/>
      <c r="AC68" s="99"/>
      <c r="AD68" s="68" t="s">
        <v>1028</v>
      </c>
      <c r="AE68" s="73" t="s">
        <v>1136</v>
      </c>
      <c r="AF68" s="68">
        <v>3399</v>
      </c>
      <c r="AG68" s="68">
        <v>349</v>
      </c>
      <c r="AH68" s="68">
        <v>86358</v>
      </c>
      <c r="AI68" s="68">
        <v>436</v>
      </c>
      <c r="AJ68" s="68"/>
      <c r="AK68" s="68" t="s">
        <v>1245</v>
      </c>
      <c r="AL68" s="68" t="s">
        <v>1318</v>
      </c>
      <c r="AM68" s="68"/>
      <c r="AN68" s="68"/>
      <c r="AO68" s="70">
        <v>40032.27568287037</v>
      </c>
      <c r="AP68" s="72" t="str">
        <f>HYPERLINK("https://pbs.twimg.com/profile_banners/63659830/1651562963")</f>
        <v>https://pbs.twimg.com/profile_banners/63659830/1651562963</v>
      </c>
      <c r="AQ68" s="68" t="b">
        <v>0</v>
      </c>
      <c r="AR68" s="68" t="b">
        <v>0</v>
      </c>
      <c r="AS68" s="68" t="b">
        <v>1</v>
      </c>
      <c r="AT68" s="68"/>
      <c r="AU68" s="68">
        <v>14</v>
      </c>
      <c r="AV68" s="72" t="str">
        <f>HYPERLINK("https://abs.twimg.com/images/themes/theme4/bg.gif")</f>
        <v>https://abs.twimg.com/images/themes/theme4/bg.gif</v>
      </c>
      <c r="AW68" s="68" t="b">
        <v>0</v>
      </c>
      <c r="AX68" s="68" t="s">
        <v>331</v>
      </c>
      <c r="AY68" s="72" t="str">
        <f>HYPERLINK("https://twitter.com/mighty_kites")</f>
        <v>https://twitter.com/mighty_kites</v>
      </c>
      <c r="AZ68" s="68" t="s">
        <v>66</v>
      </c>
      <c r="BA68" s="67" t="str">
        <f>REPLACE(INDEX(GroupVertices[Group],MATCH(Vertices[[#This Row],[Vertex]],GroupVertices[Vertex],0)),1,1,"")</f>
        <v>1</v>
      </c>
      <c r="BB68" s="49">
        <v>2</v>
      </c>
      <c r="BC68" s="50">
        <v>4</v>
      </c>
      <c r="BD68" s="49">
        <v>0</v>
      </c>
      <c r="BE68" s="50">
        <v>0</v>
      </c>
      <c r="BF68" s="49">
        <v>0</v>
      </c>
      <c r="BG68" s="50">
        <v>0</v>
      </c>
      <c r="BH68" s="49">
        <v>48</v>
      </c>
      <c r="BI68" s="50">
        <v>96</v>
      </c>
      <c r="BJ68" s="49">
        <v>50</v>
      </c>
      <c r="BK68" s="49"/>
      <c r="BL68" s="49"/>
      <c r="BM68" s="49"/>
      <c r="BN68" s="49"/>
      <c r="BO68" s="49"/>
      <c r="BP68" s="49"/>
      <c r="BQ68" s="92" t="s">
        <v>1933</v>
      </c>
      <c r="BR68" s="92" t="s">
        <v>1933</v>
      </c>
      <c r="BS68" s="92" t="s">
        <v>1975</v>
      </c>
      <c r="BT68" s="92" t="s">
        <v>1975</v>
      </c>
    </row>
    <row r="69" spans="1:72" ht="15">
      <c r="A69" s="66" t="s">
        <v>598</v>
      </c>
      <c r="B69" s="84"/>
      <c r="C69" s="84"/>
      <c r="D69" s="94">
        <v>100</v>
      </c>
      <c r="E69" s="104"/>
      <c r="F69" s="81" t="str">
        <f>HYPERLINK("https://pbs.twimg.com/profile_images/729500103212294144/B2HW-xru_normal.jpg")</f>
        <v>https://pbs.twimg.com/profile_images/729500103212294144/B2HW-xru_normal.jpg</v>
      </c>
      <c r="G69" s="105"/>
      <c r="H69" s="82" t="s">
        <v>598</v>
      </c>
      <c r="I69" s="97"/>
      <c r="J69" s="106"/>
      <c r="K69" s="82" t="s">
        <v>1415</v>
      </c>
      <c r="L69" s="107">
        <v>1</v>
      </c>
      <c r="M69" s="101">
        <v>3367.293701171875</v>
      </c>
      <c r="N69" s="101">
        <v>8663.04296875</v>
      </c>
      <c r="O69" s="102"/>
      <c r="P69" s="103"/>
      <c r="Q69" s="103"/>
      <c r="R69" s="108"/>
      <c r="S69" s="49">
        <v>0</v>
      </c>
      <c r="T69" s="49">
        <v>1</v>
      </c>
      <c r="U69" s="50">
        <v>0</v>
      </c>
      <c r="V69" s="50">
        <v>0.100475</v>
      </c>
      <c r="W69" s="50">
        <v>0.138558</v>
      </c>
      <c r="X69" s="50">
        <v>0.007406</v>
      </c>
      <c r="Y69" s="50">
        <v>0</v>
      </c>
      <c r="Z69" s="50">
        <v>0</v>
      </c>
      <c r="AA69" s="98">
        <v>69</v>
      </c>
      <c r="AB69" s="98"/>
      <c r="AC69" s="99"/>
      <c r="AD69" s="68" t="s">
        <v>1029</v>
      </c>
      <c r="AE69" s="73" t="s">
        <v>1137</v>
      </c>
      <c r="AF69" s="68">
        <v>1073</v>
      </c>
      <c r="AG69" s="68">
        <v>995</v>
      </c>
      <c r="AH69" s="68">
        <v>3360</v>
      </c>
      <c r="AI69" s="68">
        <v>18674</v>
      </c>
      <c r="AJ69" s="68"/>
      <c r="AK69" s="68" t="s">
        <v>1246</v>
      </c>
      <c r="AL69" s="68" t="s">
        <v>960</v>
      </c>
      <c r="AM69" s="68"/>
      <c r="AN69" s="68"/>
      <c r="AO69" s="70">
        <v>42499.10314814815</v>
      </c>
      <c r="AP69" s="72" t="str">
        <f>HYPERLINK("https://pbs.twimg.com/profile_banners/729498254195314688/1489533468")</f>
        <v>https://pbs.twimg.com/profile_banners/729498254195314688/1489533468</v>
      </c>
      <c r="AQ69" s="68" t="b">
        <v>0</v>
      </c>
      <c r="AR69" s="68" t="b">
        <v>0</v>
      </c>
      <c r="AS69" s="68" t="b">
        <v>0</v>
      </c>
      <c r="AT69" s="68"/>
      <c r="AU69" s="68">
        <v>8</v>
      </c>
      <c r="AV69" s="72" t="str">
        <f>HYPERLINK("https://abs.twimg.com/images/themes/theme1/bg.png")</f>
        <v>https://abs.twimg.com/images/themes/theme1/bg.png</v>
      </c>
      <c r="AW69" s="68" t="b">
        <v>0</v>
      </c>
      <c r="AX69" s="68" t="s">
        <v>331</v>
      </c>
      <c r="AY69" s="72" t="str">
        <f>HYPERLINK("https://twitter.com/whiskymead")</f>
        <v>https://twitter.com/whiskymead</v>
      </c>
      <c r="AZ69" s="68" t="s">
        <v>66</v>
      </c>
      <c r="BA69" s="67" t="str">
        <f>REPLACE(INDEX(GroupVertices[Group],MATCH(Vertices[[#This Row],[Vertex]],GroupVertices[Vertex],0)),1,1,"")</f>
        <v>1</v>
      </c>
      <c r="BB69" s="49">
        <v>2</v>
      </c>
      <c r="BC69" s="50">
        <v>4</v>
      </c>
      <c r="BD69" s="49">
        <v>0</v>
      </c>
      <c r="BE69" s="50">
        <v>0</v>
      </c>
      <c r="BF69" s="49">
        <v>0</v>
      </c>
      <c r="BG69" s="50">
        <v>0</v>
      </c>
      <c r="BH69" s="49">
        <v>48</v>
      </c>
      <c r="BI69" s="50">
        <v>96</v>
      </c>
      <c r="BJ69" s="49">
        <v>50</v>
      </c>
      <c r="BK69" s="49"/>
      <c r="BL69" s="49"/>
      <c r="BM69" s="49"/>
      <c r="BN69" s="49"/>
      <c r="BO69" s="49"/>
      <c r="BP69" s="49"/>
      <c r="BQ69" s="92" t="s">
        <v>1933</v>
      </c>
      <c r="BR69" s="92" t="s">
        <v>1933</v>
      </c>
      <c r="BS69" s="92" t="s">
        <v>1975</v>
      </c>
      <c r="BT69" s="92" t="s">
        <v>1975</v>
      </c>
    </row>
    <row r="70" spans="1:72" ht="15">
      <c r="A70" s="66" t="s">
        <v>599</v>
      </c>
      <c r="B70" s="84"/>
      <c r="C70" s="84"/>
      <c r="D70" s="94">
        <v>100</v>
      </c>
      <c r="E70" s="104"/>
      <c r="F70" s="81" t="str">
        <f>HYPERLINK("https://pbs.twimg.com/profile_images/1507188923935895556/Er2AiGiO_normal.jpg")</f>
        <v>https://pbs.twimg.com/profile_images/1507188923935895556/Er2AiGiO_normal.jpg</v>
      </c>
      <c r="G70" s="105"/>
      <c r="H70" s="82" t="s">
        <v>599</v>
      </c>
      <c r="I70" s="97"/>
      <c r="J70" s="106"/>
      <c r="K70" s="82" t="s">
        <v>1416</v>
      </c>
      <c r="L70" s="107">
        <v>1</v>
      </c>
      <c r="M70" s="101">
        <v>2476.54052734375</v>
      </c>
      <c r="N70" s="101">
        <v>6008.36279296875</v>
      </c>
      <c r="O70" s="102"/>
      <c r="P70" s="103"/>
      <c r="Q70" s="103"/>
      <c r="R70" s="108"/>
      <c r="S70" s="49">
        <v>0</v>
      </c>
      <c r="T70" s="49">
        <v>1</v>
      </c>
      <c r="U70" s="50">
        <v>0</v>
      </c>
      <c r="V70" s="50">
        <v>0.100475</v>
      </c>
      <c r="W70" s="50">
        <v>0.138558</v>
      </c>
      <c r="X70" s="50">
        <v>0.007406</v>
      </c>
      <c r="Y70" s="50">
        <v>0</v>
      </c>
      <c r="Z70" s="50">
        <v>0</v>
      </c>
      <c r="AA70" s="98">
        <v>70</v>
      </c>
      <c r="AB70" s="98"/>
      <c r="AC70" s="99"/>
      <c r="AD70" s="68" t="s">
        <v>1030</v>
      </c>
      <c r="AE70" s="73" t="s">
        <v>1138</v>
      </c>
      <c r="AF70" s="68">
        <v>1474</v>
      </c>
      <c r="AG70" s="68">
        <v>3307</v>
      </c>
      <c r="AH70" s="68">
        <v>10743</v>
      </c>
      <c r="AI70" s="68">
        <v>18108</v>
      </c>
      <c r="AJ70" s="68"/>
      <c r="AK70" s="68" t="s">
        <v>1247</v>
      </c>
      <c r="AL70" s="68" t="s">
        <v>1325</v>
      </c>
      <c r="AM70" s="72" t="str">
        <f>HYPERLINK("https://t.co/fGDfl0G5KN")</f>
        <v>https://t.co/fGDfl0G5KN</v>
      </c>
      <c r="AN70" s="68"/>
      <c r="AO70" s="70">
        <v>39899.344664351855</v>
      </c>
      <c r="AP70" s="72" t="str">
        <f>HYPERLINK("https://pbs.twimg.com/profile_banners/26971004/1637211802")</f>
        <v>https://pbs.twimg.com/profile_banners/26971004/1637211802</v>
      </c>
      <c r="AQ70" s="68" t="b">
        <v>0</v>
      </c>
      <c r="AR70" s="68" t="b">
        <v>0</v>
      </c>
      <c r="AS70" s="68" t="b">
        <v>1</v>
      </c>
      <c r="AT70" s="68"/>
      <c r="AU70" s="68">
        <v>33</v>
      </c>
      <c r="AV70" s="72" t="str">
        <f>HYPERLINK("https://abs.twimg.com/images/themes/theme7/bg.gif")</f>
        <v>https://abs.twimg.com/images/themes/theme7/bg.gif</v>
      </c>
      <c r="AW70" s="68" t="b">
        <v>0</v>
      </c>
      <c r="AX70" s="68" t="s">
        <v>331</v>
      </c>
      <c r="AY70" s="72" t="str">
        <f>HYPERLINK("https://twitter.com/misswhanau")</f>
        <v>https://twitter.com/misswhanau</v>
      </c>
      <c r="AZ70" s="68" t="s">
        <v>66</v>
      </c>
      <c r="BA70" s="67" t="str">
        <f>REPLACE(INDEX(GroupVertices[Group],MATCH(Vertices[[#This Row],[Vertex]],GroupVertices[Vertex],0)),1,1,"")</f>
        <v>1</v>
      </c>
      <c r="BB70" s="49">
        <v>3</v>
      </c>
      <c r="BC70" s="50">
        <v>3.1914893617021276</v>
      </c>
      <c r="BD70" s="49">
        <v>0</v>
      </c>
      <c r="BE70" s="50">
        <v>0</v>
      </c>
      <c r="BF70" s="49">
        <v>0</v>
      </c>
      <c r="BG70" s="50">
        <v>0</v>
      </c>
      <c r="BH70" s="49">
        <v>91</v>
      </c>
      <c r="BI70" s="50">
        <v>96.80851063829788</v>
      </c>
      <c r="BJ70" s="49">
        <v>94</v>
      </c>
      <c r="BK70" s="49"/>
      <c r="BL70" s="49"/>
      <c r="BM70" s="49"/>
      <c r="BN70" s="49"/>
      <c r="BO70" s="49"/>
      <c r="BP70" s="49"/>
      <c r="BQ70" s="92" t="s">
        <v>1932</v>
      </c>
      <c r="BR70" s="92" t="s">
        <v>1959</v>
      </c>
      <c r="BS70" s="92" t="s">
        <v>1859</v>
      </c>
      <c r="BT70" s="92" t="s">
        <v>1998</v>
      </c>
    </row>
    <row r="71" spans="1:72" ht="15">
      <c r="A71" s="66" t="s">
        <v>600</v>
      </c>
      <c r="B71" s="84"/>
      <c r="C71" s="84"/>
      <c r="D71" s="94">
        <v>100</v>
      </c>
      <c r="E71" s="104"/>
      <c r="F71" s="81" t="str">
        <f>HYPERLINK("https://pbs.twimg.com/profile_images/1413381251558346753/rTUSMAkL_normal.jpg")</f>
        <v>https://pbs.twimg.com/profile_images/1413381251558346753/rTUSMAkL_normal.jpg</v>
      </c>
      <c r="G71" s="105"/>
      <c r="H71" s="82" t="s">
        <v>600</v>
      </c>
      <c r="I71" s="97"/>
      <c r="J71" s="106"/>
      <c r="K71" s="82" t="s">
        <v>1417</v>
      </c>
      <c r="L71" s="107">
        <v>1</v>
      </c>
      <c r="M71" s="101">
        <v>2325.79052734375</v>
      </c>
      <c r="N71" s="101">
        <v>9734.453125</v>
      </c>
      <c r="O71" s="102"/>
      <c r="P71" s="103"/>
      <c r="Q71" s="103"/>
      <c r="R71" s="108"/>
      <c r="S71" s="49">
        <v>0</v>
      </c>
      <c r="T71" s="49">
        <v>1</v>
      </c>
      <c r="U71" s="50">
        <v>0</v>
      </c>
      <c r="V71" s="50">
        <v>0.100475</v>
      </c>
      <c r="W71" s="50">
        <v>0.138558</v>
      </c>
      <c r="X71" s="50">
        <v>0.007406</v>
      </c>
      <c r="Y71" s="50">
        <v>0</v>
      </c>
      <c r="Z71" s="50">
        <v>0</v>
      </c>
      <c r="AA71" s="98">
        <v>71</v>
      </c>
      <c r="AB71" s="98"/>
      <c r="AC71" s="99"/>
      <c r="AD71" s="68" t="s">
        <v>1031</v>
      </c>
      <c r="AE71" s="73" t="s">
        <v>1139</v>
      </c>
      <c r="AF71" s="68">
        <v>101</v>
      </c>
      <c r="AG71" s="68">
        <v>74</v>
      </c>
      <c r="AH71" s="68">
        <v>1093</v>
      </c>
      <c r="AI71" s="68">
        <v>6217</v>
      </c>
      <c r="AJ71" s="68"/>
      <c r="AK71" s="68" t="s">
        <v>1248</v>
      </c>
      <c r="AL71" s="68" t="s">
        <v>1326</v>
      </c>
      <c r="AM71" s="68"/>
      <c r="AN71" s="68"/>
      <c r="AO71" s="70">
        <v>42836.54206018519</v>
      </c>
      <c r="AP71" s="68"/>
      <c r="AQ71" s="68" t="b">
        <v>1</v>
      </c>
      <c r="AR71" s="68" t="b">
        <v>0</v>
      </c>
      <c r="AS71" s="68" t="b">
        <v>0</v>
      </c>
      <c r="AT71" s="68"/>
      <c r="AU71" s="68">
        <v>0</v>
      </c>
      <c r="AV71" s="68"/>
      <c r="AW71" s="68" t="b">
        <v>0</v>
      </c>
      <c r="AX71" s="68" t="s">
        <v>331</v>
      </c>
      <c r="AY71" s="72" t="str">
        <f>HYPERLINK("https://twitter.com/egmanash")</f>
        <v>https://twitter.com/egmanash</v>
      </c>
      <c r="AZ71" s="68" t="s">
        <v>66</v>
      </c>
      <c r="BA71" s="67" t="str">
        <f>REPLACE(INDEX(GroupVertices[Group],MATCH(Vertices[[#This Row],[Vertex]],GroupVertices[Vertex],0)),1,1,"")</f>
        <v>1</v>
      </c>
      <c r="BB71" s="49">
        <v>2</v>
      </c>
      <c r="BC71" s="50">
        <v>4</v>
      </c>
      <c r="BD71" s="49">
        <v>0</v>
      </c>
      <c r="BE71" s="50">
        <v>0</v>
      </c>
      <c r="BF71" s="49">
        <v>0</v>
      </c>
      <c r="BG71" s="50">
        <v>0</v>
      </c>
      <c r="BH71" s="49">
        <v>48</v>
      </c>
      <c r="BI71" s="50">
        <v>96</v>
      </c>
      <c r="BJ71" s="49">
        <v>50</v>
      </c>
      <c r="BK71" s="49"/>
      <c r="BL71" s="49"/>
      <c r="BM71" s="49"/>
      <c r="BN71" s="49"/>
      <c r="BO71" s="49"/>
      <c r="BP71" s="49"/>
      <c r="BQ71" s="92" t="s">
        <v>1933</v>
      </c>
      <c r="BR71" s="92" t="s">
        <v>1933</v>
      </c>
      <c r="BS71" s="92" t="s">
        <v>1975</v>
      </c>
      <c r="BT71" s="92" t="s">
        <v>1975</v>
      </c>
    </row>
    <row r="72" spans="1:72" ht="15">
      <c r="A72" s="66" t="s">
        <v>601</v>
      </c>
      <c r="B72" s="84"/>
      <c r="C72" s="84"/>
      <c r="D72" s="94">
        <v>100</v>
      </c>
      <c r="E72" s="104"/>
      <c r="F72" s="81" t="str">
        <f>HYPERLINK("https://pbs.twimg.com/profile_images/740647118595969024/ZybR2s82_normal.jpg")</f>
        <v>https://pbs.twimg.com/profile_images/740647118595969024/ZybR2s82_normal.jpg</v>
      </c>
      <c r="G72" s="105"/>
      <c r="H72" s="82" t="s">
        <v>601</v>
      </c>
      <c r="I72" s="97"/>
      <c r="J72" s="106"/>
      <c r="K72" s="82" t="s">
        <v>1418</v>
      </c>
      <c r="L72" s="107">
        <v>1</v>
      </c>
      <c r="M72" s="101">
        <v>1200.4449462890625</v>
      </c>
      <c r="N72" s="101">
        <v>751.0459594726562</v>
      </c>
      <c r="O72" s="102"/>
      <c r="P72" s="103"/>
      <c r="Q72" s="103"/>
      <c r="R72" s="108"/>
      <c r="S72" s="49">
        <v>1</v>
      </c>
      <c r="T72" s="49">
        <v>1</v>
      </c>
      <c r="U72" s="50">
        <v>0</v>
      </c>
      <c r="V72" s="50">
        <v>0</v>
      </c>
      <c r="W72" s="50">
        <v>0</v>
      </c>
      <c r="X72" s="50">
        <v>0.008475</v>
      </c>
      <c r="Y72" s="50">
        <v>0</v>
      </c>
      <c r="Z72" s="50">
        <v>0</v>
      </c>
      <c r="AA72" s="98">
        <v>72</v>
      </c>
      <c r="AB72" s="98"/>
      <c r="AC72" s="99"/>
      <c r="AD72" s="68" t="s">
        <v>1032</v>
      </c>
      <c r="AE72" s="73" t="s">
        <v>1140</v>
      </c>
      <c r="AF72" s="68">
        <v>1230</v>
      </c>
      <c r="AG72" s="68">
        <v>3666</v>
      </c>
      <c r="AH72" s="68">
        <v>33668</v>
      </c>
      <c r="AI72" s="68">
        <v>5</v>
      </c>
      <c r="AJ72" s="68"/>
      <c r="AK72" s="68" t="s">
        <v>1249</v>
      </c>
      <c r="AL72" s="68" t="s">
        <v>1323</v>
      </c>
      <c r="AM72" s="72" t="str">
        <f>HYPERLINK("https://t.co/PhdvUVQKSv")</f>
        <v>https://t.co/PhdvUVQKSv</v>
      </c>
      <c r="AN72" s="68"/>
      <c r="AO72" s="70">
        <v>40745.060219907406</v>
      </c>
      <c r="AP72" s="72" t="str">
        <f>HYPERLINK("https://pbs.twimg.com/profile_banners/339391138/1618610183")</f>
        <v>https://pbs.twimg.com/profile_banners/339391138/1618610183</v>
      </c>
      <c r="AQ72" s="68" t="b">
        <v>0</v>
      </c>
      <c r="AR72" s="68" t="b">
        <v>0</v>
      </c>
      <c r="AS72" s="68" t="b">
        <v>0</v>
      </c>
      <c r="AT72" s="68"/>
      <c r="AU72" s="68">
        <v>86</v>
      </c>
      <c r="AV72" s="72" t="str">
        <f>HYPERLINK("https://abs.twimg.com/images/themes/theme1/bg.png")</f>
        <v>https://abs.twimg.com/images/themes/theme1/bg.png</v>
      </c>
      <c r="AW72" s="68" t="b">
        <v>0</v>
      </c>
      <c r="AX72" s="68" t="s">
        <v>331</v>
      </c>
      <c r="AY72" s="72" t="str">
        <f>HYPERLINK("https://twitter.com/stuffauckland")</f>
        <v>https://twitter.com/stuffauckland</v>
      </c>
      <c r="AZ72" s="68" t="s">
        <v>66</v>
      </c>
      <c r="BA72" s="67" t="str">
        <f>REPLACE(INDEX(GroupVertices[Group],MATCH(Vertices[[#This Row],[Vertex]],GroupVertices[Vertex],0)),1,1,"")</f>
        <v>2</v>
      </c>
      <c r="BB72" s="49">
        <v>1</v>
      </c>
      <c r="BC72" s="50">
        <v>5.555555555555555</v>
      </c>
      <c r="BD72" s="49">
        <v>0</v>
      </c>
      <c r="BE72" s="50">
        <v>0</v>
      </c>
      <c r="BF72" s="49">
        <v>0</v>
      </c>
      <c r="BG72" s="50">
        <v>0</v>
      </c>
      <c r="BH72" s="49">
        <v>17</v>
      </c>
      <c r="BI72" s="50">
        <v>94.44444444444444</v>
      </c>
      <c r="BJ72" s="49">
        <v>18</v>
      </c>
      <c r="BK72" s="49" t="s">
        <v>1721</v>
      </c>
      <c r="BL72" s="49" t="s">
        <v>1721</v>
      </c>
      <c r="BM72" s="49" t="s">
        <v>269</v>
      </c>
      <c r="BN72" s="49" t="s">
        <v>269</v>
      </c>
      <c r="BO72" s="49"/>
      <c r="BP72" s="49"/>
      <c r="BQ72" s="92" t="s">
        <v>1938</v>
      </c>
      <c r="BR72" s="92" t="s">
        <v>1938</v>
      </c>
      <c r="BS72" s="92" t="s">
        <v>1979</v>
      </c>
      <c r="BT72" s="92" t="s">
        <v>1979</v>
      </c>
    </row>
    <row r="73" spans="1:72" ht="15">
      <c r="A73" s="66" t="s">
        <v>602</v>
      </c>
      <c r="B73" s="84"/>
      <c r="C73" s="84"/>
      <c r="D73" s="94">
        <v>100</v>
      </c>
      <c r="E73" s="104"/>
      <c r="F73" s="81" t="str">
        <f>HYPERLINK("https://pbs.twimg.com/profile_images/1278549685838344195/WJbDOFo8_normal.jpg")</f>
        <v>https://pbs.twimg.com/profile_images/1278549685838344195/WJbDOFo8_normal.jpg</v>
      </c>
      <c r="G73" s="105"/>
      <c r="H73" s="82" t="s">
        <v>602</v>
      </c>
      <c r="I73" s="97"/>
      <c r="J73" s="106"/>
      <c r="K73" s="82" t="s">
        <v>1419</v>
      </c>
      <c r="L73" s="107">
        <v>1</v>
      </c>
      <c r="M73" s="101">
        <v>2612.733154296875</v>
      </c>
      <c r="N73" s="101">
        <v>3912.164794921875</v>
      </c>
      <c r="O73" s="102"/>
      <c r="P73" s="103"/>
      <c r="Q73" s="103"/>
      <c r="R73" s="108"/>
      <c r="S73" s="49">
        <v>1</v>
      </c>
      <c r="T73" s="49">
        <v>1</v>
      </c>
      <c r="U73" s="50">
        <v>0</v>
      </c>
      <c r="V73" s="50">
        <v>0</v>
      </c>
      <c r="W73" s="50">
        <v>0</v>
      </c>
      <c r="X73" s="50">
        <v>0.008475</v>
      </c>
      <c r="Y73" s="50">
        <v>0</v>
      </c>
      <c r="Z73" s="50">
        <v>0</v>
      </c>
      <c r="AA73" s="98">
        <v>73</v>
      </c>
      <c r="AB73" s="98"/>
      <c r="AC73" s="99"/>
      <c r="AD73" s="68" t="s">
        <v>1033</v>
      </c>
      <c r="AE73" s="73" t="s">
        <v>1141</v>
      </c>
      <c r="AF73" s="68">
        <v>4661</v>
      </c>
      <c r="AG73" s="68">
        <v>1540</v>
      </c>
      <c r="AH73" s="68">
        <v>35450</v>
      </c>
      <c r="AI73" s="68">
        <v>43740</v>
      </c>
      <c r="AJ73" s="68"/>
      <c r="AK73" s="68" t="s">
        <v>1250</v>
      </c>
      <c r="AL73" s="68" t="s">
        <v>1327</v>
      </c>
      <c r="AM73" s="68"/>
      <c r="AN73" s="68"/>
      <c r="AO73" s="70">
        <v>43726.410266203704</v>
      </c>
      <c r="AP73" s="72" t="str">
        <f>HYPERLINK("https://pbs.twimg.com/profile_banners/1174259254800371713/1598799262")</f>
        <v>https://pbs.twimg.com/profile_banners/1174259254800371713/1598799262</v>
      </c>
      <c r="AQ73" s="68" t="b">
        <v>1</v>
      </c>
      <c r="AR73" s="68" t="b">
        <v>0</v>
      </c>
      <c r="AS73" s="68" t="b">
        <v>0</v>
      </c>
      <c r="AT73" s="68"/>
      <c r="AU73" s="68">
        <v>13</v>
      </c>
      <c r="AV73" s="68"/>
      <c r="AW73" s="68" t="b">
        <v>0</v>
      </c>
      <c r="AX73" s="68" t="s">
        <v>331</v>
      </c>
      <c r="AY73" s="72" t="str">
        <f>HYPERLINK("https://twitter.com/wsmith01984")</f>
        <v>https://twitter.com/wsmith01984</v>
      </c>
      <c r="AZ73" s="68" t="s">
        <v>66</v>
      </c>
      <c r="BA73" s="67" t="str">
        <f>REPLACE(INDEX(GroupVertices[Group],MATCH(Vertices[[#This Row],[Vertex]],GroupVertices[Vertex],0)),1,1,"")</f>
        <v>2</v>
      </c>
      <c r="BB73" s="49">
        <v>1</v>
      </c>
      <c r="BC73" s="50">
        <v>3.3333333333333335</v>
      </c>
      <c r="BD73" s="49">
        <v>1</v>
      </c>
      <c r="BE73" s="50">
        <v>3.3333333333333335</v>
      </c>
      <c r="BF73" s="49">
        <v>0</v>
      </c>
      <c r="BG73" s="50">
        <v>0</v>
      </c>
      <c r="BH73" s="49">
        <v>28</v>
      </c>
      <c r="BI73" s="50">
        <v>93.33333333333333</v>
      </c>
      <c r="BJ73" s="49">
        <v>30</v>
      </c>
      <c r="BK73" s="49" t="s">
        <v>1722</v>
      </c>
      <c r="BL73" s="49" t="s">
        <v>1722</v>
      </c>
      <c r="BM73" s="49" t="s">
        <v>703</v>
      </c>
      <c r="BN73" s="49" t="s">
        <v>703</v>
      </c>
      <c r="BO73" s="49"/>
      <c r="BP73" s="49"/>
      <c r="BQ73" s="92" t="s">
        <v>1939</v>
      </c>
      <c r="BR73" s="92" t="s">
        <v>1939</v>
      </c>
      <c r="BS73" s="92" t="s">
        <v>1980</v>
      </c>
      <c r="BT73" s="92" t="s">
        <v>1980</v>
      </c>
    </row>
    <row r="74" spans="1:72" ht="15">
      <c r="A74" s="66" t="s">
        <v>604</v>
      </c>
      <c r="B74" s="84"/>
      <c r="C74" s="84"/>
      <c r="D74" s="94">
        <v>100</v>
      </c>
      <c r="E74" s="104"/>
      <c r="F74" s="81" t="str">
        <f>HYPERLINK("https://pbs.twimg.com/profile_images/929942240998260742/xXq1iDPw_normal.jpg")</f>
        <v>https://pbs.twimg.com/profile_images/929942240998260742/xXq1iDPw_normal.jpg</v>
      </c>
      <c r="G74" s="105"/>
      <c r="H74" s="82" t="s">
        <v>604</v>
      </c>
      <c r="I74" s="97"/>
      <c r="J74" s="106"/>
      <c r="K74" s="82" t="s">
        <v>1420</v>
      </c>
      <c r="L74" s="107">
        <v>1</v>
      </c>
      <c r="M74" s="101">
        <v>5409.0634765625</v>
      </c>
      <c r="N74" s="101">
        <v>7757.17724609375</v>
      </c>
      <c r="O74" s="102"/>
      <c r="P74" s="103"/>
      <c r="Q74" s="103"/>
      <c r="R74" s="108"/>
      <c r="S74" s="49">
        <v>0</v>
      </c>
      <c r="T74" s="49">
        <v>2</v>
      </c>
      <c r="U74" s="50">
        <v>0</v>
      </c>
      <c r="V74" s="50">
        <v>0.026709</v>
      </c>
      <c r="W74" s="50">
        <v>0</v>
      </c>
      <c r="X74" s="50">
        <v>0.007794</v>
      </c>
      <c r="Y74" s="50">
        <v>0.5</v>
      </c>
      <c r="Z74" s="50">
        <v>0</v>
      </c>
      <c r="AA74" s="98">
        <v>74</v>
      </c>
      <c r="AB74" s="98"/>
      <c r="AC74" s="99"/>
      <c r="AD74" s="68" t="s">
        <v>1034</v>
      </c>
      <c r="AE74" s="73" t="s">
        <v>1142</v>
      </c>
      <c r="AF74" s="68">
        <v>5002</v>
      </c>
      <c r="AG74" s="68">
        <v>3161</v>
      </c>
      <c r="AH74" s="68">
        <v>28424</v>
      </c>
      <c r="AI74" s="68">
        <v>19912</v>
      </c>
      <c r="AJ74" s="68"/>
      <c r="AK74" s="68" t="s">
        <v>1251</v>
      </c>
      <c r="AL74" s="68" t="s">
        <v>1328</v>
      </c>
      <c r="AM74" s="72" t="str">
        <f>HYPERLINK("https://t.co/GWIoBeZLoI")</f>
        <v>https://t.co/GWIoBeZLoI</v>
      </c>
      <c r="AN74" s="68"/>
      <c r="AO74" s="70">
        <v>39849.16202546296</v>
      </c>
      <c r="AP74" s="72" t="str">
        <f>HYPERLINK("https://pbs.twimg.com/profile_banners/20118846/1510041833")</f>
        <v>https://pbs.twimg.com/profile_banners/20118846/1510041833</v>
      </c>
      <c r="AQ74" s="68" t="b">
        <v>0</v>
      </c>
      <c r="AR74" s="68" t="b">
        <v>0</v>
      </c>
      <c r="AS74" s="68" t="b">
        <v>1</v>
      </c>
      <c r="AT74" s="68"/>
      <c r="AU74" s="68">
        <v>170</v>
      </c>
      <c r="AV74" s="72" t="str">
        <f>HYPERLINK("https://abs.twimg.com/images/themes/theme1/bg.png")</f>
        <v>https://abs.twimg.com/images/themes/theme1/bg.png</v>
      </c>
      <c r="AW74" s="68" t="b">
        <v>0</v>
      </c>
      <c r="AX74" s="68" t="s">
        <v>331</v>
      </c>
      <c r="AY74" s="72" t="str">
        <f>HYPERLINK("https://twitter.com/timjonesbooks")</f>
        <v>https://twitter.com/timjonesbooks</v>
      </c>
      <c r="AZ74" s="68" t="s">
        <v>66</v>
      </c>
      <c r="BA74" s="67" t="str">
        <f>REPLACE(INDEX(GroupVertices[Group],MATCH(Vertices[[#This Row],[Vertex]],GroupVertices[Vertex],0)),1,1,"")</f>
        <v>4</v>
      </c>
      <c r="BB74" s="49">
        <v>1</v>
      </c>
      <c r="BC74" s="50">
        <v>6.25</v>
      </c>
      <c r="BD74" s="49">
        <v>0</v>
      </c>
      <c r="BE74" s="50">
        <v>0</v>
      </c>
      <c r="BF74" s="49">
        <v>0</v>
      </c>
      <c r="BG74" s="50">
        <v>0</v>
      </c>
      <c r="BH74" s="49">
        <v>15</v>
      </c>
      <c r="BI74" s="50">
        <v>93.75</v>
      </c>
      <c r="BJ74" s="49">
        <v>16</v>
      </c>
      <c r="BK74" s="49" t="s">
        <v>1711</v>
      </c>
      <c r="BL74" s="49" t="s">
        <v>1711</v>
      </c>
      <c r="BM74" s="49" t="s">
        <v>702</v>
      </c>
      <c r="BN74" s="49" t="s">
        <v>702</v>
      </c>
      <c r="BO74" s="49"/>
      <c r="BP74" s="49"/>
      <c r="BQ74" s="92" t="s">
        <v>1940</v>
      </c>
      <c r="BR74" s="92" t="s">
        <v>1940</v>
      </c>
      <c r="BS74" s="92" t="s">
        <v>1981</v>
      </c>
      <c r="BT74" s="92" t="s">
        <v>1981</v>
      </c>
    </row>
    <row r="75" spans="1:72" ht="15">
      <c r="A75" s="66" t="s">
        <v>605</v>
      </c>
      <c r="B75" s="84"/>
      <c r="C75" s="84"/>
      <c r="D75" s="94">
        <v>100</v>
      </c>
      <c r="E75" s="104"/>
      <c r="F75" s="81" t="str">
        <f>HYPERLINK("https://pbs.twimg.com/profile_images/1340031061930045440/PWCfq1lN_normal.jpg")</f>
        <v>https://pbs.twimg.com/profile_images/1340031061930045440/PWCfq1lN_normal.jpg</v>
      </c>
      <c r="G75" s="105"/>
      <c r="H75" s="82" t="s">
        <v>605</v>
      </c>
      <c r="I75" s="97"/>
      <c r="J75" s="106"/>
      <c r="K75" s="82" t="s">
        <v>1421</v>
      </c>
      <c r="L75" s="107">
        <v>1</v>
      </c>
      <c r="M75" s="101">
        <v>3671.94921875</v>
      </c>
      <c r="N75" s="101">
        <v>6791.52001953125</v>
      </c>
      <c r="O75" s="102"/>
      <c r="P75" s="103"/>
      <c r="Q75" s="103"/>
      <c r="R75" s="108"/>
      <c r="S75" s="49">
        <v>0</v>
      </c>
      <c r="T75" s="49">
        <v>1</v>
      </c>
      <c r="U75" s="50">
        <v>0</v>
      </c>
      <c r="V75" s="50">
        <v>0.100475</v>
      </c>
      <c r="W75" s="50">
        <v>0.138558</v>
      </c>
      <c r="X75" s="50">
        <v>0.007406</v>
      </c>
      <c r="Y75" s="50">
        <v>0</v>
      </c>
      <c r="Z75" s="50">
        <v>0</v>
      </c>
      <c r="AA75" s="98">
        <v>75</v>
      </c>
      <c r="AB75" s="98"/>
      <c r="AC75" s="99"/>
      <c r="AD75" s="68" t="s">
        <v>1035</v>
      </c>
      <c r="AE75" s="73" t="s">
        <v>1143</v>
      </c>
      <c r="AF75" s="68">
        <v>1709</v>
      </c>
      <c r="AG75" s="68">
        <v>741</v>
      </c>
      <c r="AH75" s="68">
        <v>9947</v>
      </c>
      <c r="AI75" s="68">
        <v>10736</v>
      </c>
      <c r="AJ75" s="68"/>
      <c r="AK75" s="68" t="s">
        <v>1252</v>
      </c>
      <c r="AL75" s="68" t="s">
        <v>1329</v>
      </c>
      <c r="AM75" s="72" t="str">
        <f>HYPERLINK("https://t.co/I3KbB0hF46")</f>
        <v>https://t.co/I3KbB0hF46</v>
      </c>
      <c r="AN75" s="68"/>
      <c r="AO75" s="70">
        <v>42522.432291666664</v>
      </c>
      <c r="AP75" s="72" t="str">
        <f>HYPERLINK("https://pbs.twimg.com/profile_banners/737952453388181509/1464813984")</f>
        <v>https://pbs.twimg.com/profile_banners/737952453388181509/1464813984</v>
      </c>
      <c r="AQ75" s="68" t="b">
        <v>1</v>
      </c>
      <c r="AR75" s="68" t="b">
        <v>0</v>
      </c>
      <c r="AS75" s="68" t="b">
        <v>0</v>
      </c>
      <c r="AT75" s="68"/>
      <c r="AU75" s="68">
        <v>6</v>
      </c>
      <c r="AV75" s="68"/>
      <c r="AW75" s="68" t="b">
        <v>0</v>
      </c>
      <c r="AX75" s="68" t="s">
        <v>331</v>
      </c>
      <c r="AY75" s="72" t="str">
        <f>HYPERLINK("https://twitter.com/themblogger31")</f>
        <v>https://twitter.com/themblogger31</v>
      </c>
      <c r="AZ75" s="68" t="s">
        <v>66</v>
      </c>
      <c r="BA75" s="67" t="str">
        <f>REPLACE(INDEX(GroupVertices[Group],MATCH(Vertices[[#This Row],[Vertex]],GroupVertices[Vertex],0)),1,1,"")</f>
        <v>1</v>
      </c>
      <c r="BB75" s="49">
        <v>2</v>
      </c>
      <c r="BC75" s="50">
        <v>4</v>
      </c>
      <c r="BD75" s="49">
        <v>0</v>
      </c>
      <c r="BE75" s="50">
        <v>0</v>
      </c>
      <c r="BF75" s="49">
        <v>0</v>
      </c>
      <c r="BG75" s="50">
        <v>0</v>
      </c>
      <c r="BH75" s="49">
        <v>48</v>
      </c>
      <c r="BI75" s="50">
        <v>96</v>
      </c>
      <c r="BJ75" s="49">
        <v>50</v>
      </c>
      <c r="BK75" s="49"/>
      <c r="BL75" s="49"/>
      <c r="BM75" s="49"/>
      <c r="BN75" s="49"/>
      <c r="BO75" s="49"/>
      <c r="BP75" s="49"/>
      <c r="BQ75" s="92" t="s">
        <v>1933</v>
      </c>
      <c r="BR75" s="92" t="s">
        <v>1933</v>
      </c>
      <c r="BS75" s="92" t="s">
        <v>1975</v>
      </c>
      <c r="BT75" s="92" t="s">
        <v>1975</v>
      </c>
    </row>
    <row r="76" spans="1:72" ht="15">
      <c r="A76" s="66" t="s">
        <v>606</v>
      </c>
      <c r="B76" s="84"/>
      <c r="C76" s="84"/>
      <c r="D76" s="94">
        <v>100</v>
      </c>
      <c r="E76" s="104"/>
      <c r="F76" s="81" t="str">
        <f>HYPERLINK("https://pbs.twimg.com/profile_images/1520994280911032320/_E9mvBGQ_normal.jpg")</f>
        <v>https://pbs.twimg.com/profile_images/1520994280911032320/_E9mvBGQ_normal.jpg</v>
      </c>
      <c r="G76" s="105"/>
      <c r="H76" s="82" t="s">
        <v>606</v>
      </c>
      <c r="I76" s="97"/>
      <c r="J76" s="106"/>
      <c r="K76" s="82" t="s">
        <v>1422</v>
      </c>
      <c r="L76" s="107">
        <v>1</v>
      </c>
      <c r="M76" s="101">
        <v>3318.877197265625</v>
      </c>
      <c r="N76" s="101">
        <v>3912.164794921875</v>
      </c>
      <c r="O76" s="102"/>
      <c r="P76" s="103"/>
      <c r="Q76" s="103"/>
      <c r="R76" s="108"/>
      <c r="S76" s="49">
        <v>1</v>
      </c>
      <c r="T76" s="49">
        <v>1</v>
      </c>
      <c r="U76" s="50">
        <v>0</v>
      </c>
      <c r="V76" s="50">
        <v>0</v>
      </c>
      <c r="W76" s="50">
        <v>0</v>
      </c>
      <c r="X76" s="50">
        <v>0.008475</v>
      </c>
      <c r="Y76" s="50">
        <v>0</v>
      </c>
      <c r="Z76" s="50">
        <v>0</v>
      </c>
      <c r="AA76" s="98">
        <v>76</v>
      </c>
      <c r="AB76" s="98"/>
      <c r="AC76" s="99"/>
      <c r="AD76" s="68" t="s">
        <v>1036</v>
      </c>
      <c r="AE76" s="73" t="s">
        <v>938</v>
      </c>
      <c r="AF76" s="68">
        <v>4709</v>
      </c>
      <c r="AG76" s="68">
        <v>1782</v>
      </c>
      <c r="AH76" s="68">
        <v>46280</v>
      </c>
      <c r="AI76" s="68">
        <v>21017</v>
      </c>
      <c r="AJ76" s="68"/>
      <c r="AK76" s="68" t="s">
        <v>1253</v>
      </c>
      <c r="AL76" s="68" t="s">
        <v>1330</v>
      </c>
      <c r="AM76" s="68"/>
      <c r="AN76" s="68"/>
      <c r="AO76" s="70">
        <v>39835.99351851852</v>
      </c>
      <c r="AP76" s="72" t="str">
        <f>HYPERLINK("https://pbs.twimg.com/profile_banners/19370499/1648688279")</f>
        <v>https://pbs.twimg.com/profile_banners/19370499/1648688279</v>
      </c>
      <c r="AQ76" s="68" t="b">
        <v>0</v>
      </c>
      <c r="AR76" s="68" t="b">
        <v>0</v>
      </c>
      <c r="AS76" s="68" t="b">
        <v>1</v>
      </c>
      <c r="AT76" s="68"/>
      <c r="AU76" s="68">
        <v>55</v>
      </c>
      <c r="AV76" s="72" t="str">
        <f>HYPERLINK("https://abs.twimg.com/images/themes/theme18/bg.gif")</f>
        <v>https://abs.twimg.com/images/themes/theme18/bg.gif</v>
      </c>
      <c r="AW76" s="68" t="b">
        <v>0</v>
      </c>
      <c r="AX76" s="68" t="s">
        <v>331</v>
      </c>
      <c r="AY76" s="72" t="str">
        <f>HYPERLINK("https://twitter.com/anth0888")</f>
        <v>https://twitter.com/anth0888</v>
      </c>
      <c r="AZ76" s="68" t="s">
        <v>66</v>
      </c>
      <c r="BA76" s="67" t="str">
        <f>REPLACE(INDEX(GroupVertices[Group],MATCH(Vertices[[#This Row],[Vertex]],GroupVertices[Vertex],0)),1,1,"")</f>
        <v>2</v>
      </c>
      <c r="BB76" s="49">
        <v>2</v>
      </c>
      <c r="BC76" s="50">
        <v>4.878048780487805</v>
      </c>
      <c r="BD76" s="49">
        <v>0</v>
      </c>
      <c r="BE76" s="50">
        <v>0</v>
      </c>
      <c r="BF76" s="49">
        <v>0</v>
      </c>
      <c r="BG76" s="50">
        <v>0</v>
      </c>
      <c r="BH76" s="49">
        <v>39</v>
      </c>
      <c r="BI76" s="50">
        <v>95.1219512195122</v>
      </c>
      <c r="BJ76" s="49">
        <v>41</v>
      </c>
      <c r="BK76" s="49"/>
      <c r="BL76" s="49"/>
      <c r="BM76" s="49"/>
      <c r="BN76" s="49"/>
      <c r="BO76" s="49"/>
      <c r="BP76" s="49"/>
      <c r="BQ76" s="92" t="s">
        <v>1941</v>
      </c>
      <c r="BR76" s="92" t="s">
        <v>1941</v>
      </c>
      <c r="BS76" s="92" t="s">
        <v>1982</v>
      </c>
      <c r="BT76" s="92" t="s">
        <v>1982</v>
      </c>
    </row>
    <row r="77" spans="1:72" ht="15">
      <c r="A77" s="66" t="s">
        <v>607</v>
      </c>
      <c r="B77" s="84"/>
      <c r="C77" s="84"/>
      <c r="D77" s="94">
        <v>100</v>
      </c>
      <c r="E77" s="104"/>
      <c r="F77" s="81" t="str">
        <f>HYPERLINK("https://pbs.twimg.com/profile_images/1033290359105761285/T2Db8LvD_normal.jpg")</f>
        <v>https://pbs.twimg.com/profile_images/1033290359105761285/T2Db8LvD_normal.jpg</v>
      </c>
      <c r="G77" s="105"/>
      <c r="H77" s="82" t="s">
        <v>607</v>
      </c>
      <c r="I77" s="97"/>
      <c r="J77" s="106"/>
      <c r="K77" s="82" t="s">
        <v>1423</v>
      </c>
      <c r="L77" s="107">
        <v>1</v>
      </c>
      <c r="M77" s="101">
        <v>1906.5889892578125</v>
      </c>
      <c r="N77" s="101">
        <v>3912.164794921875</v>
      </c>
      <c r="O77" s="102"/>
      <c r="P77" s="103"/>
      <c r="Q77" s="103"/>
      <c r="R77" s="108"/>
      <c r="S77" s="49">
        <v>1</v>
      </c>
      <c r="T77" s="49">
        <v>1</v>
      </c>
      <c r="U77" s="50">
        <v>0</v>
      </c>
      <c r="V77" s="50">
        <v>0</v>
      </c>
      <c r="W77" s="50">
        <v>0</v>
      </c>
      <c r="X77" s="50">
        <v>0.008475</v>
      </c>
      <c r="Y77" s="50">
        <v>0</v>
      </c>
      <c r="Z77" s="50">
        <v>0</v>
      </c>
      <c r="AA77" s="98">
        <v>77</v>
      </c>
      <c r="AB77" s="98"/>
      <c r="AC77" s="99"/>
      <c r="AD77" s="68" t="s">
        <v>1037</v>
      </c>
      <c r="AE77" s="73" t="s">
        <v>1144</v>
      </c>
      <c r="AF77" s="68">
        <v>1049</v>
      </c>
      <c r="AG77" s="68">
        <v>1109</v>
      </c>
      <c r="AH77" s="68">
        <v>26197</v>
      </c>
      <c r="AI77" s="68">
        <v>21499</v>
      </c>
      <c r="AJ77" s="68"/>
      <c r="AK77" s="68" t="s">
        <v>1254</v>
      </c>
      <c r="AL77" s="68" t="s">
        <v>1323</v>
      </c>
      <c r="AM77" s="72" t="str">
        <f>HYPERLINK("https://t.co/N5QCxlltMp")</f>
        <v>https://t.co/N5QCxlltMp</v>
      </c>
      <c r="AN77" s="68"/>
      <c r="AO77" s="70">
        <v>39988.831921296296</v>
      </c>
      <c r="AP77" s="72" t="str">
        <f>HYPERLINK("https://pbs.twimg.com/profile_banners/50415792/1494924995")</f>
        <v>https://pbs.twimg.com/profile_banners/50415792/1494924995</v>
      </c>
      <c r="AQ77" s="68" t="b">
        <v>0</v>
      </c>
      <c r="AR77" s="68" t="b">
        <v>0</v>
      </c>
      <c r="AS77" s="68" t="b">
        <v>1</v>
      </c>
      <c r="AT77" s="68"/>
      <c r="AU77" s="68">
        <v>39</v>
      </c>
      <c r="AV77" s="72" t="str">
        <f>HYPERLINK("https://abs.twimg.com/images/themes/theme9/bg.gif")</f>
        <v>https://abs.twimg.com/images/themes/theme9/bg.gif</v>
      </c>
      <c r="AW77" s="68" t="b">
        <v>0</v>
      </c>
      <c r="AX77" s="68" t="s">
        <v>331</v>
      </c>
      <c r="AY77" s="72" t="str">
        <f>HYPERLINK("https://twitter.com/jdeheij")</f>
        <v>https://twitter.com/jdeheij</v>
      </c>
      <c r="AZ77" s="68" t="s">
        <v>66</v>
      </c>
      <c r="BA77" s="67" t="str">
        <f>REPLACE(INDEX(GroupVertices[Group],MATCH(Vertices[[#This Row],[Vertex]],GroupVertices[Vertex],0)),1,1,"")</f>
        <v>2</v>
      </c>
      <c r="BB77" s="49">
        <v>2</v>
      </c>
      <c r="BC77" s="50">
        <v>14.285714285714286</v>
      </c>
      <c r="BD77" s="49">
        <v>0</v>
      </c>
      <c r="BE77" s="50">
        <v>0</v>
      </c>
      <c r="BF77" s="49">
        <v>0</v>
      </c>
      <c r="BG77" s="50">
        <v>0</v>
      </c>
      <c r="BH77" s="49">
        <v>12</v>
      </c>
      <c r="BI77" s="50">
        <v>85.71428571428571</v>
      </c>
      <c r="BJ77" s="49">
        <v>14</v>
      </c>
      <c r="BK77" s="49" t="s">
        <v>1723</v>
      </c>
      <c r="BL77" s="49" t="s">
        <v>1723</v>
      </c>
      <c r="BM77" s="49" t="s">
        <v>702</v>
      </c>
      <c r="BN77" s="49" t="s">
        <v>702</v>
      </c>
      <c r="BO77" s="49"/>
      <c r="BP77" s="49"/>
      <c r="BQ77" s="92" t="s">
        <v>1942</v>
      </c>
      <c r="BR77" s="92" t="s">
        <v>1942</v>
      </c>
      <c r="BS77" s="92" t="s">
        <v>1983</v>
      </c>
      <c r="BT77" s="92" t="s">
        <v>1983</v>
      </c>
    </row>
    <row r="78" spans="1:72" ht="15">
      <c r="A78" s="66" t="s">
        <v>608</v>
      </c>
      <c r="B78" s="84"/>
      <c r="C78" s="84"/>
      <c r="D78" s="94">
        <v>100</v>
      </c>
      <c r="E78" s="104"/>
      <c r="F78" s="81" t="str">
        <f>HYPERLINK("https://pbs.twimg.com/profile_images/1458308612086849537/rpBqsdH9_normal.jpg")</f>
        <v>https://pbs.twimg.com/profile_images/1458308612086849537/rpBqsdH9_normal.jpg</v>
      </c>
      <c r="G78" s="105"/>
      <c r="H78" s="82" t="s">
        <v>608</v>
      </c>
      <c r="I78" s="97"/>
      <c r="J78" s="106"/>
      <c r="K78" s="82" t="s">
        <v>1424</v>
      </c>
      <c r="L78" s="107">
        <v>1</v>
      </c>
      <c r="M78" s="101">
        <v>3001.1845703125</v>
      </c>
      <c r="N78" s="101">
        <v>5158.70556640625</v>
      </c>
      <c r="O78" s="102"/>
      <c r="P78" s="103"/>
      <c r="Q78" s="103"/>
      <c r="R78" s="108"/>
      <c r="S78" s="49">
        <v>0</v>
      </c>
      <c r="T78" s="49">
        <v>1</v>
      </c>
      <c r="U78" s="50">
        <v>0</v>
      </c>
      <c r="V78" s="50">
        <v>0.100475</v>
      </c>
      <c r="W78" s="50">
        <v>0.138558</v>
      </c>
      <c r="X78" s="50">
        <v>0.007406</v>
      </c>
      <c r="Y78" s="50">
        <v>0</v>
      </c>
      <c r="Z78" s="50">
        <v>0</v>
      </c>
      <c r="AA78" s="98">
        <v>78</v>
      </c>
      <c r="AB78" s="98"/>
      <c r="AC78" s="99"/>
      <c r="AD78" s="68" t="s">
        <v>1038</v>
      </c>
      <c r="AE78" s="73" t="s">
        <v>1145</v>
      </c>
      <c r="AF78" s="68">
        <v>330</v>
      </c>
      <c r="AG78" s="68">
        <v>261</v>
      </c>
      <c r="AH78" s="68">
        <v>6887</v>
      </c>
      <c r="AI78" s="68">
        <v>11930</v>
      </c>
      <c r="AJ78" s="68"/>
      <c r="AK78" s="68" t="s">
        <v>1255</v>
      </c>
      <c r="AL78" s="68" t="s">
        <v>1324</v>
      </c>
      <c r="AM78" s="72" t="str">
        <f>HYPERLINK("https://t.co/ZFqlNA8fHF")</f>
        <v>https://t.co/ZFqlNA8fHF</v>
      </c>
      <c r="AN78" s="68"/>
      <c r="AO78" s="70">
        <v>40302.80813657407</v>
      </c>
      <c r="AP78" s="72" t="str">
        <f>HYPERLINK("https://pbs.twimg.com/profile_banners/140162038/1406451126")</f>
        <v>https://pbs.twimg.com/profile_banners/140162038/1406451126</v>
      </c>
      <c r="AQ78" s="68" t="b">
        <v>0</v>
      </c>
      <c r="AR78" s="68" t="b">
        <v>0</v>
      </c>
      <c r="AS78" s="68" t="b">
        <v>0</v>
      </c>
      <c r="AT78" s="68"/>
      <c r="AU78" s="68">
        <v>8</v>
      </c>
      <c r="AV78" s="72" t="str">
        <f>HYPERLINK("https://abs.twimg.com/images/themes/theme18/bg.gif")</f>
        <v>https://abs.twimg.com/images/themes/theme18/bg.gif</v>
      </c>
      <c r="AW78" s="68" t="b">
        <v>0</v>
      </c>
      <c r="AX78" s="68" t="s">
        <v>331</v>
      </c>
      <c r="AY78" s="72" t="str">
        <f>HYPERLINK("https://twitter.com/jes_af")</f>
        <v>https://twitter.com/jes_af</v>
      </c>
      <c r="AZ78" s="68" t="s">
        <v>66</v>
      </c>
      <c r="BA78" s="67" t="str">
        <f>REPLACE(INDEX(GroupVertices[Group],MATCH(Vertices[[#This Row],[Vertex]],GroupVertices[Vertex],0)),1,1,"")</f>
        <v>1</v>
      </c>
      <c r="BB78" s="49">
        <v>2</v>
      </c>
      <c r="BC78" s="50">
        <v>4</v>
      </c>
      <c r="BD78" s="49">
        <v>0</v>
      </c>
      <c r="BE78" s="50">
        <v>0</v>
      </c>
      <c r="BF78" s="49">
        <v>0</v>
      </c>
      <c r="BG78" s="50">
        <v>0</v>
      </c>
      <c r="BH78" s="49">
        <v>48</v>
      </c>
      <c r="BI78" s="50">
        <v>96</v>
      </c>
      <c r="BJ78" s="49">
        <v>50</v>
      </c>
      <c r="BK78" s="49"/>
      <c r="BL78" s="49"/>
      <c r="BM78" s="49"/>
      <c r="BN78" s="49"/>
      <c r="BO78" s="49"/>
      <c r="BP78" s="49"/>
      <c r="BQ78" s="92" t="s">
        <v>1933</v>
      </c>
      <c r="BR78" s="92" t="s">
        <v>1933</v>
      </c>
      <c r="BS78" s="92" t="s">
        <v>1975</v>
      </c>
      <c r="BT78" s="92" t="s">
        <v>1975</v>
      </c>
    </row>
    <row r="79" spans="1:72" ht="15">
      <c r="A79" s="66" t="s">
        <v>609</v>
      </c>
      <c r="B79" s="84"/>
      <c r="C79" s="84"/>
      <c r="D79" s="94">
        <v>100</v>
      </c>
      <c r="E79" s="104"/>
      <c r="F79" s="81" t="str">
        <f>HYPERLINK("https://pbs.twimg.com/profile_images/1447317507736424448/XRomCFa1_normal.jpg")</f>
        <v>https://pbs.twimg.com/profile_images/1447317507736424448/XRomCFa1_normal.jpg</v>
      </c>
      <c r="G79" s="105"/>
      <c r="H79" s="82" t="s">
        <v>609</v>
      </c>
      <c r="I79" s="97"/>
      <c r="J79" s="106"/>
      <c r="K79" s="82" t="s">
        <v>1425</v>
      </c>
      <c r="L79" s="107">
        <v>1</v>
      </c>
      <c r="M79" s="101">
        <v>7026.13330078125</v>
      </c>
      <c r="N79" s="101">
        <v>2157.85595703125</v>
      </c>
      <c r="O79" s="102"/>
      <c r="P79" s="103"/>
      <c r="Q79" s="103"/>
      <c r="R79" s="108"/>
      <c r="S79" s="49">
        <v>0</v>
      </c>
      <c r="T79" s="49">
        <v>1</v>
      </c>
      <c r="U79" s="50">
        <v>0</v>
      </c>
      <c r="V79" s="50">
        <v>0.008547</v>
      </c>
      <c r="W79" s="50">
        <v>0</v>
      </c>
      <c r="X79" s="50">
        <v>0.008475</v>
      </c>
      <c r="Y79" s="50">
        <v>0</v>
      </c>
      <c r="Z79" s="50">
        <v>0</v>
      </c>
      <c r="AA79" s="98">
        <v>79</v>
      </c>
      <c r="AB79" s="98"/>
      <c r="AC79" s="99"/>
      <c r="AD79" s="68" t="s">
        <v>1039</v>
      </c>
      <c r="AE79" s="73" t="s">
        <v>1146</v>
      </c>
      <c r="AF79" s="68">
        <v>268</v>
      </c>
      <c r="AG79" s="68">
        <v>354</v>
      </c>
      <c r="AH79" s="68">
        <v>1147</v>
      </c>
      <c r="AI79" s="68">
        <v>1783</v>
      </c>
      <c r="AJ79" s="68"/>
      <c r="AK79" s="68" t="s">
        <v>1256</v>
      </c>
      <c r="AL79" s="68"/>
      <c r="AM79" s="72" t="str">
        <f>HYPERLINK("https://t.co/8u9SjjJdzi")</f>
        <v>https://t.co/8u9SjjJdzi</v>
      </c>
      <c r="AN79" s="68"/>
      <c r="AO79" s="70">
        <v>40264.82929398148</v>
      </c>
      <c r="AP79" s="72" t="str">
        <f>HYPERLINK("https://pbs.twimg.com/profile_banners/127023688/1416871083")</f>
        <v>https://pbs.twimg.com/profile_banners/127023688/1416871083</v>
      </c>
      <c r="AQ79" s="68" t="b">
        <v>0</v>
      </c>
      <c r="AR79" s="68" t="b">
        <v>0</v>
      </c>
      <c r="AS79" s="68" t="b">
        <v>0</v>
      </c>
      <c r="AT79" s="68"/>
      <c r="AU79" s="68">
        <v>4</v>
      </c>
      <c r="AV79" s="72" t="str">
        <f>HYPERLINK("https://abs.twimg.com/images/themes/theme16/bg.gif")</f>
        <v>https://abs.twimg.com/images/themes/theme16/bg.gif</v>
      </c>
      <c r="AW79" s="68" t="b">
        <v>0</v>
      </c>
      <c r="AX79" s="68" t="s">
        <v>331</v>
      </c>
      <c r="AY79" s="72" t="str">
        <f>HYPERLINK("https://twitter.com/lindseyconrow")</f>
        <v>https://twitter.com/lindseyconrow</v>
      </c>
      <c r="AZ79" s="68" t="s">
        <v>66</v>
      </c>
      <c r="BA79" s="67" t="str">
        <f>REPLACE(INDEX(GroupVertices[Group],MATCH(Vertices[[#This Row],[Vertex]],GroupVertices[Vertex],0)),1,1,"")</f>
        <v>19</v>
      </c>
      <c r="BB79" s="49">
        <v>0</v>
      </c>
      <c r="BC79" s="50">
        <v>0</v>
      </c>
      <c r="BD79" s="49">
        <v>0</v>
      </c>
      <c r="BE79" s="50">
        <v>0</v>
      </c>
      <c r="BF79" s="49">
        <v>0</v>
      </c>
      <c r="BG79" s="50">
        <v>0</v>
      </c>
      <c r="BH79" s="49">
        <v>23</v>
      </c>
      <c r="BI79" s="50">
        <v>100</v>
      </c>
      <c r="BJ79" s="49">
        <v>23</v>
      </c>
      <c r="BK79" s="49" t="s">
        <v>1743</v>
      </c>
      <c r="BL79" s="49" t="s">
        <v>1743</v>
      </c>
      <c r="BM79" s="49" t="s">
        <v>702</v>
      </c>
      <c r="BN79" s="49" t="s">
        <v>702</v>
      </c>
      <c r="BO79" s="49"/>
      <c r="BP79" s="49"/>
      <c r="BQ79" s="92" t="s">
        <v>1943</v>
      </c>
      <c r="BR79" s="92" t="s">
        <v>1943</v>
      </c>
      <c r="BS79" s="92" t="s">
        <v>1984</v>
      </c>
      <c r="BT79" s="92" t="s">
        <v>1984</v>
      </c>
    </row>
    <row r="80" spans="1:72" ht="15">
      <c r="A80" s="66" t="s">
        <v>644</v>
      </c>
      <c r="B80" s="84"/>
      <c r="C80" s="84"/>
      <c r="D80" s="94">
        <v>100</v>
      </c>
      <c r="E80" s="104"/>
      <c r="F80" s="81" t="str">
        <f>HYPERLINK("https://pbs.twimg.com/profile_images/964633460097740800/tTI8yXYo_normal.jpg")</f>
        <v>https://pbs.twimg.com/profile_images/964633460097740800/tTI8yXYo_normal.jpg</v>
      </c>
      <c r="G80" s="105"/>
      <c r="H80" s="82" t="s">
        <v>644</v>
      </c>
      <c r="I80" s="97"/>
      <c r="J80" s="106"/>
      <c r="K80" s="82" t="s">
        <v>1426</v>
      </c>
      <c r="L80" s="107">
        <v>1</v>
      </c>
      <c r="M80" s="101">
        <v>7026.13330078125</v>
      </c>
      <c r="N80" s="101">
        <v>2841.64404296875</v>
      </c>
      <c r="O80" s="102"/>
      <c r="P80" s="103"/>
      <c r="Q80" s="103"/>
      <c r="R80" s="108"/>
      <c r="S80" s="49">
        <v>1</v>
      </c>
      <c r="T80" s="49">
        <v>0</v>
      </c>
      <c r="U80" s="50">
        <v>0</v>
      </c>
      <c r="V80" s="50">
        <v>0.008547</v>
      </c>
      <c r="W80" s="50">
        <v>0</v>
      </c>
      <c r="X80" s="50">
        <v>0.008475</v>
      </c>
      <c r="Y80" s="50">
        <v>0</v>
      </c>
      <c r="Z80" s="50">
        <v>0</v>
      </c>
      <c r="AA80" s="98">
        <v>80</v>
      </c>
      <c r="AB80" s="98"/>
      <c r="AC80" s="99"/>
      <c r="AD80" s="68" t="s">
        <v>1040</v>
      </c>
      <c r="AE80" s="73" t="s">
        <v>1147</v>
      </c>
      <c r="AF80" s="68">
        <v>612</v>
      </c>
      <c r="AG80" s="68">
        <v>855</v>
      </c>
      <c r="AH80" s="68">
        <v>1895</v>
      </c>
      <c r="AI80" s="68">
        <v>632</v>
      </c>
      <c r="AJ80" s="68"/>
      <c r="AK80" s="68" t="s">
        <v>1257</v>
      </c>
      <c r="AL80" s="68" t="s">
        <v>1310</v>
      </c>
      <c r="AM80" s="72" t="str">
        <f>HYPERLINK("https://t.co/9JMtBlzQ82")</f>
        <v>https://t.co/9JMtBlzQ82</v>
      </c>
      <c r="AN80" s="68"/>
      <c r="AO80" s="70">
        <v>41409.9296412037</v>
      </c>
      <c r="AP80" s="68"/>
      <c r="AQ80" s="68" t="b">
        <v>1</v>
      </c>
      <c r="AR80" s="68" t="b">
        <v>0</v>
      </c>
      <c r="AS80" s="68" t="b">
        <v>1</v>
      </c>
      <c r="AT80" s="68"/>
      <c r="AU80" s="68">
        <v>37</v>
      </c>
      <c r="AV80" s="72" t="str">
        <f>HYPERLINK("https://abs.twimg.com/images/themes/theme1/bg.png")</f>
        <v>https://abs.twimg.com/images/themes/theme1/bg.png</v>
      </c>
      <c r="AW80" s="68" t="b">
        <v>0</v>
      </c>
      <c r="AX80" s="68" t="s">
        <v>331</v>
      </c>
      <c r="AY80" s="72" t="str">
        <f>HYPERLINK("https://twitter.com/simonkingham")</f>
        <v>https://twitter.com/simonkingham</v>
      </c>
      <c r="AZ80" s="68" t="s">
        <v>65</v>
      </c>
      <c r="BA80" s="67"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row>
    <row r="81" spans="1:72" ht="15">
      <c r="A81" s="66" t="s">
        <v>610</v>
      </c>
      <c r="B81" s="84"/>
      <c r="C81" s="84"/>
      <c r="D81" s="94">
        <v>370</v>
      </c>
      <c r="E81" s="104"/>
      <c r="F81" s="81" t="str">
        <f>HYPERLINK("https://abs.twimg.com/sticky/default_profile_images/default_profile_normal.png")</f>
        <v>https://abs.twimg.com/sticky/default_profile_images/default_profile_normal.png</v>
      </c>
      <c r="G81" s="105"/>
      <c r="H81" s="82" t="s">
        <v>610</v>
      </c>
      <c r="I81" s="97"/>
      <c r="J81" s="106"/>
      <c r="K81" s="82" t="s">
        <v>1427</v>
      </c>
      <c r="L81" s="107">
        <v>119.55335968379447</v>
      </c>
      <c r="M81" s="101">
        <v>6182.291015625</v>
      </c>
      <c r="N81" s="101">
        <v>5010.70947265625</v>
      </c>
      <c r="O81" s="102"/>
      <c r="P81" s="103"/>
      <c r="Q81" s="103"/>
      <c r="R81" s="108"/>
      <c r="S81" s="49">
        <v>0</v>
      </c>
      <c r="T81" s="49">
        <v>3</v>
      </c>
      <c r="U81" s="50">
        <v>6</v>
      </c>
      <c r="V81" s="50">
        <v>0.025641</v>
      </c>
      <c r="W81" s="50">
        <v>0</v>
      </c>
      <c r="X81" s="50">
        <v>0.010686</v>
      </c>
      <c r="Y81" s="50">
        <v>0</v>
      </c>
      <c r="Z81" s="50">
        <v>0</v>
      </c>
      <c r="AA81" s="98">
        <v>81</v>
      </c>
      <c r="AB81" s="98"/>
      <c r="AC81" s="99"/>
      <c r="AD81" s="68" t="s">
        <v>610</v>
      </c>
      <c r="AE81" s="73" t="s">
        <v>1148</v>
      </c>
      <c r="AF81" s="68">
        <v>24</v>
      </c>
      <c r="AG81" s="68">
        <v>40</v>
      </c>
      <c r="AH81" s="68">
        <v>10963</v>
      </c>
      <c r="AI81" s="68">
        <v>15183</v>
      </c>
      <c r="AJ81" s="68"/>
      <c r="AK81" s="68"/>
      <c r="AL81" s="68"/>
      <c r="AM81" s="68"/>
      <c r="AN81" s="68"/>
      <c r="AO81" s="70">
        <v>43560.845</v>
      </c>
      <c r="AP81" s="68"/>
      <c r="AQ81" s="68" t="b">
        <v>1</v>
      </c>
      <c r="AR81" s="68" t="b">
        <v>1</v>
      </c>
      <c r="AS81" s="68" t="b">
        <v>0</v>
      </c>
      <c r="AT81" s="68"/>
      <c r="AU81" s="68">
        <v>0</v>
      </c>
      <c r="AV81" s="68"/>
      <c r="AW81" s="68" t="b">
        <v>0</v>
      </c>
      <c r="AX81" s="68" t="s">
        <v>331</v>
      </c>
      <c r="AY81" s="72" t="str">
        <f>HYPERLINK("https://twitter.com/guardineer")</f>
        <v>https://twitter.com/guardineer</v>
      </c>
      <c r="AZ81" s="68" t="s">
        <v>66</v>
      </c>
      <c r="BA81" s="67" t="str">
        <f>REPLACE(INDEX(GroupVertices[Group],MATCH(Vertices[[#This Row],[Vertex]],GroupVertices[Vertex],0)),1,1,"")</f>
        <v>8</v>
      </c>
      <c r="BB81" s="49">
        <v>0</v>
      </c>
      <c r="BC81" s="50">
        <v>0</v>
      </c>
      <c r="BD81" s="49">
        <v>0</v>
      </c>
      <c r="BE81" s="50">
        <v>0</v>
      </c>
      <c r="BF81" s="49">
        <v>0</v>
      </c>
      <c r="BG81" s="50">
        <v>0</v>
      </c>
      <c r="BH81" s="49">
        <v>10</v>
      </c>
      <c r="BI81" s="50">
        <v>100</v>
      </c>
      <c r="BJ81" s="49">
        <v>10</v>
      </c>
      <c r="BK81" s="49" t="s">
        <v>1733</v>
      </c>
      <c r="BL81" s="49" t="s">
        <v>1733</v>
      </c>
      <c r="BM81" s="49" t="s">
        <v>704</v>
      </c>
      <c r="BN81" s="49" t="s">
        <v>704</v>
      </c>
      <c r="BO81" s="49" t="s">
        <v>716</v>
      </c>
      <c r="BP81" s="49" t="s">
        <v>716</v>
      </c>
      <c r="BQ81" s="92" t="s">
        <v>1944</v>
      </c>
      <c r="BR81" s="92" t="s">
        <v>1944</v>
      </c>
      <c r="BS81" s="92" t="s">
        <v>1985</v>
      </c>
      <c r="BT81" s="92" t="s">
        <v>1985</v>
      </c>
    </row>
    <row r="82" spans="1:72" ht="15">
      <c r="A82" s="66" t="s">
        <v>645</v>
      </c>
      <c r="B82" s="84"/>
      <c r="C82" s="84"/>
      <c r="D82" s="94">
        <v>100</v>
      </c>
      <c r="E82" s="104"/>
      <c r="F82" s="81" t="str">
        <f>HYPERLINK("https://pbs.twimg.com/profile_images/1402978759431524352/obgDSOxY_normal.jpg")</f>
        <v>https://pbs.twimg.com/profile_images/1402978759431524352/obgDSOxY_normal.jpg</v>
      </c>
      <c r="G82" s="105"/>
      <c r="H82" s="82" t="s">
        <v>645</v>
      </c>
      <c r="I82" s="97"/>
      <c r="J82" s="106"/>
      <c r="K82" s="82" t="s">
        <v>1428</v>
      </c>
      <c r="L82" s="107">
        <v>1</v>
      </c>
      <c r="M82" s="101">
        <v>6182.291015625</v>
      </c>
      <c r="N82" s="101">
        <v>6288.60888671875</v>
      </c>
      <c r="O82" s="102"/>
      <c r="P82" s="103"/>
      <c r="Q82" s="103"/>
      <c r="R82" s="108"/>
      <c r="S82" s="49">
        <v>1</v>
      </c>
      <c r="T82" s="49">
        <v>0</v>
      </c>
      <c r="U82" s="50">
        <v>0</v>
      </c>
      <c r="V82" s="50">
        <v>0.015385</v>
      </c>
      <c r="W82" s="50">
        <v>0</v>
      </c>
      <c r="X82" s="50">
        <v>0.007738</v>
      </c>
      <c r="Y82" s="50">
        <v>0</v>
      </c>
      <c r="Z82" s="50">
        <v>0</v>
      </c>
      <c r="AA82" s="98">
        <v>82</v>
      </c>
      <c r="AB82" s="98"/>
      <c r="AC82" s="99"/>
      <c r="AD82" s="68" t="s">
        <v>1041</v>
      </c>
      <c r="AE82" s="73" t="s">
        <v>1149</v>
      </c>
      <c r="AF82" s="68">
        <v>10179</v>
      </c>
      <c r="AG82" s="68">
        <v>185152</v>
      </c>
      <c r="AH82" s="68">
        <v>36367</v>
      </c>
      <c r="AI82" s="68">
        <v>10641</v>
      </c>
      <c r="AJ82" s="68"/>
      <c r="AK82" s="68" t="s">
        <v>1258</v>
      </c>
      <c r="AL82" s="68" t="s">
        <v>1331</v>
      </c>
      <c r="AM82" s="72" t="str">
        <f>HYPERLINK("https://t.co/fxIkx7jU0P")</f>
        <v>https://t.co/fxIkx7jU0P</v>
      </c>
      <c r="AN82" s="68"/>
      <c r="AO82" s="70">
        <v>39960.31134259259</v>
      </c>
      <c r="AP82" s="72" t="str">
        <f>HYPERLINK("https://pbs.twimg.com/profile_banners/42836999/1649611339")</f>
        <v>https://pbs.twimg.com/profile_banners/42836999/1649611339</v>
      </c>
      <c r="AQ82" s="68" t="b">
        <v>0</v>
      </c>
      <c r="AR82" s="68" t="b">
        <v>0</v>
      </c>
      <c r="AS82" s="68" t="b">
        <v>1</v>
      </c>
      <c r="AT82" s="68"/>
      <c r="AU82" s="68">
        <v>977</v>
      </c>
      <c r="AV82" s="72" t="str">
        <f>HYPERLINK("https://abs.twimg.com/images/themes/theme1/bg.png")</f>
        <v>https://abs.twimg.com/images/themes/theme1/bg.png</v>
      </c>
      <c r="AW82" s="68" t="b">
        <v>1</v>
      </c>
      <c r="AX82" s="68" t="s">
        <v>331</v>
      </c>
      <c r="AY82" s="72" t="str">
        <f>HYPERLINK("https://twitter.com/rachelnotley")</f>
        <v>https://twitter.com/rachelnotley</v>
      </c>
      <c r="AZ82" s="68" t="s">
        <v>65</v>
      </c>
      <c r="BA82" s="67"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row>
    <row r="83" spans="1:72" ht="15">
      <c r="A83" s="66" t="s">
        <v>646</v>
      </c>
      <c r="B83" s="84"/>
      <c r="C83" s="84"/>
      <c r="D83" s="94">
        <v>100</v>
      </c>
      <c r="E83" s="104"/>
      <c r="F83" s="81" t="str">
        <f>HYPERLINK("https://pbs.twimg.com/profile_images/1462602225557991430/Porbh1vW_normal.jpg")</f>
        <v>https://pbs.twimg.com/profile_images/1462602225557991430/Porbh1vW_normal.jpg</v>
      </c>
      <c r="G83" s="105"/>
      <c r="H83" s="82" t="s">
        <v>646</v>
      </c>
      <c r="I83" s="97"/>
      <c r="J83" s="106"/>
      <c r="K83" s="82" t="s">
        <v>1429</v>
      </c>
      <c r="L83" s="107">
        <v>1</v>
      </c>
      <c r="M83" s="101">
        <v>5666.80615234375</v>
      </c>
      <c r="N83" s="101">
        <v>6288.60888671875</v>
      </c>
      <c r="O83" s="102"/>
      <c r="P83" s="103"/>
      <c r="Q83" s="103"/>
      <c r="R83" s="108"/>
      <c r="S83" s="49">
        <v>1</v>
      </c>
      <c r="T83" s="49">
        <v>0</v>
      </c>
      <c r="U83" s="50">
        <v>0</v>
      </c>
      <c r="V83" s="50">
        <v>0.015385</v>
      </c>
      <c r="W83" s="50">
        <v>0</v>
      </c>
      <c r="X83" s="50">
        <v>0.007738</v>
      </c>
      <c r="Y83" s="50">
        <v>0</v>
      </c>
      <c r="Z83" s="50">
        <v>0</v>
      </c>
      <c r="AA83" s="98">
        <v>83</v>
      </c>
      <c r="AB83" s="98"/>
      <c r="AC83" s="99"/>
      <c r="AD83" s="68" t="s">
        <v>1042</v>
      </c>
      <c r="AE83" s="73" t="s">
        <v>1150</v>
      </c>
      <c r="AF83" s="68">
        <v>930</v>
      </c>
      <c r="AG83" s="68">
        <v>313225</v>
      </c>
      <c r="AH83" s="68">
        <v>45327</v>
      </c>
      <c r="AI83" s="68">
        <v>28616</v>
      </c>
      <c r="AJ83" s="68"/>
      <c r="AK83" s="68" t="s">
        <v>1259</v>
      </c>
      <c r="AL83" s="68" t="s">
        <v>1332</v>
      </c>
      <c r="AM83" s="72" t="str">
        <f>HYPERLINK("https://t.co/FryH3fiHqb")</f>
        <v>https://t.co/FryH3fiHqb</v>
      </c>
      <c r="AN83" s="68"/>
      <c r="AO83" s="70">
        <v>39865.96229166666</v>
      </c>
      <c r="AP83" s="72" t="str">
        <f>HYPERLINK("https://pbs.twimg.com/profile_banners/21525682/1647027658")</f>
        <v>https://pbs.twimg.com/profile_banners/21525682/1647027658</v>
      </c>
      <c r="AQ83" s="68" t="b">
        <v>0</v>
      </c>
      <c r="AR83" s="68" t="b">
        <v>0</v>
      </c>
      <c r="AS83" s="68" t="b">
        <v>1</v>
      </c>
      <c r="AT83" s="68"/>
      <c r="AU83" s="68">
        <v>1675</v>
      </c>
      <c r="AV83" s="72" t="str">
        <f>HYPERLINK("https://abs.twimg.com/images/themes/theme1/bg.png")</f>
        <v>https://abs.twimg.com/images/themes/theme1/bg.png</v>
      </c>
      <c r="AW83" s="68" t="b">
        <v>1</v>
      </c>
      <c r="AX83" s="68" t="s">
        <v>331</v>
      </c>
      <c r="AY83" s="72" t="str">
        <f>HYPERLINK("https://twitter.com/jkenney")</f>
        <v>https://twitter.com/jkenney</v>
      </c>
      <c r="AZ83" s="68" t="s">
        <v>65</v>
      </c>
      <c r="BA83" s="67"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row>
    <row r="84" spans="1:72" ht="15">
      <c r="A84" s="66" t="s">
        <v>647</v>
      </c>
      <c r="B84" s="84"/>
      <c r="C84" s="84"/>
      <c r="D84" s="94">
        <v>100</v>
      </c>
      <c r="E84" s="104"/>
      <c r="F84" s="81" t="str">
        <f>HYPERLINK("https://pbs.twimg.com/profile_images/1491168470159052803/3RR7Y9wN_normal.jpg")</f>
        <v>https://pbs.twimg.com/profile_images/1491168470159052803/3RR7Y9wN_normal.jpg</v>
      </c>
      <c r="G84" s="105"/>
      <c r="H84" s="82" t="s">
        <v>647</v>
      </c>
      <c r="I84" s="97"/>
      <c r="J84" s="106"/>
      <c r="K84" s="82" t="s">
        <v>1430</v>
      </c>
      <c r="L84" s="107">
        <v>1</v>
      </c>
      <c r="M84" s="101">
        <v>5666.80615234375</v>
      </c>
      <c r="N84" s="101">
        <v>5010.70947265625</v>
      </c>
      <c r="O84" s="102"/>
      <c r="P84" s="103"/>
      <c r="Q84" s="103"/>
      <c r="R84" s="108"/>
      <c r="S84" s="49">
        <v>1</v>
      </c>
      <c r="T84" s="49">
        <v>0</v>
      </c>
      <c r="U84" s="50">
        <v>0</v>
      </c>
      <c r="V84" s="50">
        <v>0.015385</v>
      </c>
      <c r="W84" s="50">
        <v>0</v>
      </c>
      <c r="X84" s="50">
        <v>0.007738</v>
      </c>
      <c r="Y84" s="50">
        <v>0</v>
      </c>
      <c r="Z84" s="50">
        <v>0</v>
      </c>
      <c r="AA84" s="98">
        <v>84</v>
      </c>
      <c r="AB84" s="98"/>
      <c r="AC84" s="99"/>
      <c r="AD84" s="68" t="s">
        <v>1043</v>
      </c>
      <c r="AE84" s="73" t="s">
        <v>1151</v>
      </c>
      <c r="AF84" s="68">
        <v>5219</v>
      </c>
      <c r="AG84" s="68">
        <v>41644</v>
      </c>
      <c r="AH84" s="68">
        <v>36381</v>
      </c>
      <c r="AI84" s="68">
        <v>12060</v>
      </c>
      <c r="AJ84" s="68"/>
      <c r="AK84" s="68" t="s">
        <v>1260</v>
      </c>
      <c r="AL84" s="68" t="s">
        <v>1333</v>
      </c>
      <c r="AM84" s="68"/>
      <c r="AN84" s="68"/>
      <c r="AO84" s="70">
        <v>40636.95961805555</v>
      </c>
      <c r="AP84" s="72" t="str">
        <f>HYPERLINK("https://pbs.twimg.com/profile_banners/276713213/1607378750")</f>
        <v>https://pbs.twimg.com/profile_banners/276713213/1607378750</v>
      </c>
      <c r="AQ84" s="68" t="b">
        <v>1</v>
      </c>
      <c r="AR84" s="68" t="b">
        <v>0</v>
      </c>
      <c r="AS84" s="68" t="b">
        <v>1</v>
      </c>
      <c r="AT84" s="68"/>
      <c r="AU84" s="68">
        <v>708</v>
      </c>
      <c r="AV84" s="72" t="str">
        <f>HYPERLINK("https://abs.twimg.com/images/themes/theme1/bg.png")</f>
        <v>https://abs.twimg.com/images/themes/theme1/bg.png</v>
      </c>
      <c r="AW84" s="68" t="b">
        <v>1</v>
      </c>
      <c r="AX84" s="68" t="s">
        <v>331</v>
      </c>
      <c r="AY84" s="72" t="str">
        <f>HYPERLINK("https://twitter.com/s_guilbeault")</f>
        <v>https://twitter.com/s_guilbeault</v>
      </c>
      <c r="AZ84" s="68" t="s">
        <v>65</v>
      </c>
      <c r="BA84" s="67"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row>
    <row r="85" spans="1:72" ht="15">
      <c r="A85" s="66" t="s">
        <v>611</v>
      </c>
      <c r="B85" s="84"/>
      <c r="C85" s="84"/>
      <c r="D85" s="94">
        <v>100</v>
      </c>
      <c r="E85" s="104"/>
      <c r="F85" s="81" t="str">
        <f>HYPERLINK("https://pbs.twimg.com/profile_images/1513088337296654337/cLZ6GCEk_normal.jpg")</f>
        <v>https://pbs.twimg.com/profile_images/1513088337296654337/cLZ6GCEk_normal.jpg</v>
      </c>
      <c r="G85" s="105"/>
      <c r="H85" s="82" t="s">
        <v>611</v>
      </c>
      <c r="I85" s="97"/>
      <c r="J85" s="106"/>
      <c r="K85" s="82" t="s">
        <v>1431</v>
      </c>
      <c r="L85" s="107">
        <v>1</v>
      </c>
      <c r="M85" s="101">
        <v>9568.251953125</v>
      </c>
      <c r="N85" s="101">
        <v>1877.6148681640625</v>
      </c>
      <c r="O85" s="102"/>
      <c r="P85" s="103"/>
      <c r="Q85" s="103"/>
      <c r="R85" s="108"/>
      <c r="S85" s="49">
        <v>0</v>
      </c>
      <c r="T85" s="49">
        <v>1</v>
      </c>
      <c r="U85" s="50">
        <v>0</v>
      </c>
      <c r="V85" s="50">
        <v>0.008547</v>
      </c>
      <c r="W85" s="50">
        <v>0</v>
      </c>
      <c r="X85" s="50">
        <v>0.008475</v>
      </c>
      <c r="Y85" s="50">
        <v>0</v>
      </c>
      <c r="Z85" s="50">
        <v>0</v>
      </c>
      <c r="AA85" s="98">
        <v>85</v>
      </c>
      <c r="AB85" s="98"/>
      <c r="AC85" s="99"/>
      <c r="AD85" s="68" t="s">
        <v>1044</v>
      </c>
      <c r="AE85" s="73" t="s">
        <v>1152</v>
      </c>
      <c r="AF85" s="68">
        <v>586</v>
      </c>
      <c r="AG85" s="68">
        <v>3436</v>
      </c>
      <c r="AH85" s="68">
        <v>16382</v>
      </c>
      <c r="AI85" s="68">
        <v>57980</v>
      </c>
      <c r="AJ85" s="68"/>
      <c r="AK85" s="68" t="s">
        <v>1261</v>
      </c>
      <c r="AL85" s="68" t="s">
        <v>1307</v>
      </c>
      <c r="AM85" s="72" t="str">
        <f>HYPERLINK("https://t.co/8DlA8xWV34")</f>
        <v>https://t.co/8DlA8xWV34</v>
      </c>
      <c r="AN85" s="68"/>
      <c r="AO85" s="70">
        <v>39954.11452546297</v>
      </c>
      <c r="AP85" s="72" t="str">
        <f>HYPERLINK("https://pbs.twimg.com/profile_banners/41513557/1649652446")</f>
        <v>https://pbs.twimg.com/profile_banners/41513557/1649652446</v>
      </c>
      <c r="AQ85" s="68" t="b">
        <v>0</v>
      </c>
      <c r="AR85" s="68" t="b">
        <v>0</v>
      </c>
      <c r="AS85" s="68" t="b">
        <v>0</v>
      </c>
      <c r="AT85" s="68"/>
      <c r="AU85" s="68">
        <v>21</v>
      </c>
      <c r="AV85" s="72" t="str">
        <f>HYPERLINK("https://abs.twimg.com/images/themes/theme7/bg.gif")</f>
        <v>https://abs.twimg.com/images/themes/theme7/bg.gif</v>
      </c>
      <c r="AW85" s="68" t="b">
        <v>0</v>
      </c>
      <c r="AX85" s="68" t="s">
        <v>331</v>
      </c>
      <c r="AY85" s="72" t="str">
        <f>HYPERLINK("https://twitter.com/jaackiepaul")</f>
        <v>https://twitter.com/jaackiepaul</v>
      </c>
      <c r="AZ85" s="68" t="s">
        <v>66</v>
      </c>
      <c r="BA85" s="67" t="str">
        <f>REPLACE(INDEX(GroupVertices[Group],MATCH(Vertices[[#This Row],[Vertex]],GroupVertices[Vertex],0)),1,1,"")</f>
        <v>18</v>
      </c>
      <c r="BB85" s="49">
        <v>0</v>
      </c>
      <c r="BC85" s="50">
        <v>0</v>
      </c>
      <c r="BD85" s="49">
        <v>0</v>
      </c>
      <c r="BE85" s="50">
        <v>0</v>
      </c>
      <c r="BF85" s="49">
        <v>0</v>
      </c>
      <c r="BG85" s="50">
        <v>0</v>
      </c>
      <c r="BH85" s="49">
        <v>12</v>
      </c>
      <c r="BI85" s="50">
        <v>100</v>
      </c>
      <c r="BJ85" s="49">
        <v>12</v>
      </c>
      <c r="BK85" s="49" t="s">
        <v>1742</v>
      </c>
      <c r="BL85" s="49" t="s">
        <v>1742</v>
      </c>
      <c r="BM85" s="49" t="s">
        <v>705</v>
      </c>
      <c r="BN85" s="49" t="s">
        <v>705</v>
      </c>
      <c r="BO85" s="49"/>
      <c r="BP85" s="49"/>
      <c r="BQ85" s="92" t="s">
        <v>1945</v>
      </c>
      <c r="BR85" s="92" t="s">
        <v>1945</v>
      </c>
      <c r="BS85" s="92" t="s">
        <v>1986</v>
      </c>
      <c r="BT85" s="92" t="s">
        <v>1986</v>
      </c>
    </row>
    <row r="86" spans="1:72" ht="15">
      <c r="A86" s="66" t="s">
        <v>648</v>
      </c>
      <c r="B86" s="84"/>
      <c r="C86" s="84"/>
      <c r="D86" s="94">
        <v>100</v>
      </c>
      <c r="E86" s="104"/>
      <c r="F86" s="81" t="str">
        <f>HYPERLINK("https://pbs.twimg.com/profile_images/1523772896149000192/NfsRo1aI_normal.jpg")</f>
        <v>https://pbs.twimg.com/profile_images/1523772896149000192/NfsRo1aI_normal.jpg</v>
      </c>
      <c r="G86" s="105"/>
      <c r="H86" s="82" t="s">
        <v>648</v>
      </c>
      <c r="I86" s="97"/>
      <c r="J86" s="106"/>
      <c r="K86" s="82" t="s">
        <v>1432</v>
      </c>
      <c r="L86" s="107">
        <v>1</v>
      </c>
      <c r="M86" s="101">
        <v>9568.251953125</v>
      </c>
      <c r="N86" s="101">
        <v>2897.6923828125</v>
      </c>
      <c r="O86" s="102"/>
      <c r="P86" s="103"/>
      <c r="Q86" s="103"/>
      <c r="R86" s="108"/>
      <c r="S86" s="49">
        <v>1</v>
      </c>
      <c r="T86" s="49">
        <v>0</v>
      </c>
      <c r="U86" s="50">
        <v>0</v>
      </c>
      <c r="V86" s="50">
        <v>0.008547</v>
      </c>
      <c r="W86" s="50">
        <v>0</v>
      </c>
      <c r="X86" s="50">
        <v>0.008475</v>
      </c>
      <c r="Y86" s="50">
        <v>0</v>
      </c>
      <c r="Z86" s="50">
        <v>0</v>
      </c>
      <c r="AA86" s="98">
        <v>86</v>
      </c>
      <c r="AB86" s="98"/>
      <c r="AC86" s="99"/>
      <c r="AD86" s="68" t="s">
        <v>1045</v>
      </c>
      <c r="AE86" s="73" t="s">
        <v>1153</v>
      </c>
      <c r="AF86" s="68">
        <v>315</v>
      </c>
      <c r="AG86" s="68">
        <v>14477</v>
      </c>
      <c r="AH86" s="68">
        <v>6664</v>
      </c>
      <c r="AI86" s="68">
        <v>2266</v>
      </c>
      <c r="AJ86" s="68"/>
      <c r="AK86" s="68" t="s">
        <v>1262</v>
      </c>
      <c r="AL86" s="68" t="s">
        <v>1334</v>
      </c>
      <c r="AM86" s="72" t="str">
        <f>HYPERLINK("https://t.co/eU28DPcH3d")</f>
        <v>https://t.co/eU28DPcH3d</v>
      </c>
      <c r="AN86" s="68"/>
      <c r="AO86" s="70">
        <v>39925.16304398148</v>
      </c>
      <c r="AP86" s="72" t="str">
        <f>HYPERLINK("https://pbs.twimg.com/profile_banners/34174153/1652130948")</f>
        <v>https://pbs.twimg.com/profile_banners/34174153/1652130948</v>
      </c>
      <c r="AQ86" s="68" t="b">
        <v>0</v>
      </c>
      <c r="AR86" s="68" t="b">
        <v>0</v>
      </c>
      <c r="AS86" s="68" t="b">
        <v>0</v>
      </c>
      <c r="AT86" s="68"/>
      <c r="AU86" s="68">
        <v>198</v>
      </c>
      <c r="AV86" s="72" t="str">
        <f>HYPERLINK("https://abs.twimg.com/images/themes/theme14/bg.gif")</f>
        <v>https://abs.twimg.com/images/themes/theme14/bg.gif</v>
      </c>
      <c r="AW86" s="68" t="b">
        <v>0</v>
      </c>
      <c r="AX86" s="68" t="s">
        <v>331</v>
      </c>
      <c r="AY86" s="72" t="str">
        <f>HYPERLINK("https://twitter.com/maoritv")</f>
        <v>https://twitter.com/maoritv</v>
      </c>
      <c r="AZ86" s="68" t="s">
        <v>65</v>
      </c>
      <c r="BA86" s="67" t="str">
        <f>REPLACE(INDEX(GroupVertices[Group],MATCH(Vertices[[#This Row],[Vertex]],GroupVertices[Vertex],0)),1,1,"")</f>
        <v>18</v>
      </c>
      <c r="BB86" s="49"/>
      <c r="BC86" s="50"/>
      <c r="BD86" s="49"/>
      <c r="BE86" s="50"/>
      <c r="BF86" s="49"/>
      <c r="BG86" s="50"/>
      <c r="BH86" s="49"/>
      <c r="BI86" s="50"/>
      <c r="BJ86" s="49"/>
      <c r="BK86" s="49"/>
      <c r="BL86" s="49"/>
      <c r="BM86" s="49"/>
      <c r="BN86" s="49"/>
      <c r="BO86" s="49"/>
      <c r="BP86" s="49"/>
      <c r="BQ86" s="49"/>
      <c r="BR86" s="49"/>
      <c r="BS86" s="49"/>
      <c r="BT86" s="49"/>
    </row>
    <row r="87" spans="1:72" ht="15">
      <c r="A87" s="66" t="s">
        <v>612</v>
      </c>
      <c r="B87" s="84"/>
      <c r="C87" s="84"/>
      <c r="D87" s="94">
        <v>100</v>
      </c>
      <c r="E87" s="104"/>
      <c r="F87" s="81" t="str">
        <f>HYPERLINK("https://pbs.twimg.com/profile_images/684161878449209344/7gIPnaU5_normal.jpg")</f>
        <v>https://pbs.twimg.com/profile_images/684161878449209344/7gIPnaU5_normal.jpg</v>
      </c>
      <c r="G87" s="105"/>
      <c r="H87" s="82" t="s">
        <v>612</v>
      </c>
      <c r="I87" s="97"/>
      <c r="J87" s="106"/>
      <c r="K87" s="82" t="s">
        <v>1433</v>
      </c>
      <c r="L87" s="107">
        <v>1</v>
      </c>
      <c r="M87" s="101">
        <v>1524.931640625</v>
      </c>
      <c r="N87" s="101">
        <v>5855.02587890625</v>
      </c>
      <c r="O87" s="102"/>
      <c r="P87" s="103"/>
      <c r="Q87" s="103"/>
      <c r="R87" s="108"/>
      <c r="S87" s="49">
        <v>0</v>
      </c>
      <c r="T87" s="49">
        <v>1</v>
      </c>
      <c r="U87" s="50">
        <v>0</v>
      </c>
      <c r="V87" s="50">
        <v>0.100475</v>
      </c>
      <c r="W87" s="50">
        <v>0.138558</v>
      </c>
      <c r="X87" s="50">
        <v>0.007406</v>
      </c>
      <c r="Y87" s="50">
        <v>0</v>
      </c>
      <c r="Z87" s="50">
        <v>0</v>
      </c>
      <c r="AA87" s="98">
        <v>87</v>
      </c>
      <c r="AB87" s="98"/>
      <c r="AC87" s="99"/>
      <c r="AD87" s="68" t="s">
        <v>1046</v>
      </c>
      <c r="AE87" s="73" t="s">
        <v>1154</v>
      </c>
      <c r="AF87" s="68">
        <v>1503</v>
      </c>
      <c r="AG87" s="68">
        <v>2363</v>
      </c>
      <c r="AH87" s="68">
        <v>32290</v>
      </c>
      <c r="AI87" s="68">
        <v>19287</v>
      </c>
      <c r="AJ87" s="68"/>
      <c r="AK87" s="68" t="s">
        <v>1263</v>
      </c>
      <c r="AL87" s="68" t="s">
        <v>1307</v>
      </c>
      <c r="AM87" s="72" t="str">
        <f>HYPERLINK("https://t.co/l4t9mHAUwZ")</f>
        <v>https://t.co/l4t9mHAUwZ</v>
      </c>
      <c r="AN87" s="68"/>
      <c r="AO87" s="70">
        <v>39904.07760416667</v>
      </c>
      <c r="AP87" s="72" t="str">
        <f>HYPERLINK("https://pbs.twimg.com/profile_banners/28022560/1443390350")</f>
        <v>https://pbs.twimg.com/profile_banners/28022560/1443390350</v>
      </c>
      <c r="AQ87" s="68" t="b">
        <v>1</v>
      </c>
      <c r="AR87" s="68" t="b">
        <v>0</v>
      </c>
      <c r="AS87" s="68" t="b">
        <v>1</v>
      </c>
      <c r="AT87" s="68"/>
      <c r="AU87" s="68">
        <v>22</v>
      </c>
      <c r="AV87" s="72" t="str">
        <f>HYPERLINK("https://abs.twimg.com/images/themes/theme1/bg.png")</f>
        <v>https://abs.twimg.com/images/themes/theme1/bg.png</v>
      </c>
      <c r="AW87" s="68" t="b">
        <v>0</v>
      </c>
      <c r="AX87" s="68" t="s">
        <v>331</v>
      </c>
      <c r="AY87" s="72" t="str">
        <f>HYPERLINK("https://twitter.com/gregpresland")</f>
        <v>https://twitter.com/gregpresland</v>
      </c>
      <c r="AZ87" s="68" t="s">
        <v>66</v>
      </c>
      <c r="BA87" s="67" t="str">
        <f>REPLACE(INDEX(GroupVertices[Group],MATCH(Vertices[[#This Row],[Vertex]],GroupVertices[Vertex],0)),1,1,"")</f>
        <v>1</v>
      </c>
      <c r="BB87" s="49">
        <v>2</v>
      </c>
      <c r="BC87" s="50">
        <v>4</v>
      </c>
      <c r="BD87" s="49">
        <v>0</v>
      </c>
      <c r="BE87" s="50">
        <v>0</v>
      </c>
      <c r="BF87" s="49">
        <v>0</v>
      </c>
      <c r="BG87" s="50">
        <v>0</v>
      </c>
      <c r="BH87" s="49">
        <v>48</v>
      </c>
      <c r="BI87" s="50">
        <v>96</v>
      </c>
      <c r="BJ87" s="49">
        <v>50</v>
      </c>
      <c r="BK87" s="49"/>
      <c r="BL87" s="49"/>
      <c r="BM87" s="49"/>
      <c r="BN87" s="49"/>
      <c r="BO87" s="49"/>
      <c r="BP87" s="49"/>
      <c r="BQ87" s="92" t="s">
        <v>1933</v>
      </c>
      <c r="BR87" s="92" t="s">
        <v>1933</v>
      </c>
      <c r="BS87" s="92" t="s">
        <v>1975</v>
      </c>
      <c r="BT87" s="92" t="s">
        <v>1975</v>
      </c>
    </row>
    <row r="88" spans="1:72" ht="15">
      <c r="A88" s="66" t="s">
        <v>613</v>
      </c>
      <c r="B88" s="84"/>
      <c r="C88" s="84"/>
      <c r="D88" s="94">
        <v>100</v>
      </c>
      <c r="E88" s="104"/>
      <c r="F88" s="81" t="str">
        <f>HYPERLINK("https://pbs.twimg.com/profile_images/1426700055516307457/gHOEvqg2_normal.png")</f>
        <v>https://pbs.twimg.com/profile_images/1426700055516307457/gHOEvqg2_normal.png</v>
      </c>
      <c r="G88" s="105"/>
      <c r="H88" s="82" t="s">
        <v>613</v>
      </c>
      <c r="I88" s="97"/>
      <c r="J88" s="106"/>
      <c r="K88" s="82" t="s">
        <v>1434</v>
      </c>
      <c r="L88" s="107">
        <v>1</v>
      </c>
      <c r="M88" s="101">
        <v>494.30084228515625</v>
      </c>
      <c r="N88" s="101">
        <v>3912.164794921875</v>
      </c>
      <c r="O88" s="102"/>
      <c r="P88" s="103"/>
      <c r="Q88" s="103"/>
      <c r="R88" s="108"/>
      <c r="S88" s="49">
        <v>1</v>
      </c>
      <c r="T88" s="49">
        <v>1</v>
      </c>
      <c r="U88" s="50">
        <v>0</v>
      </c>
      <c r="V88" s="50">
        <v>0</v>
      </c>
      <c r="W88" s="50">
        <v>0</v>
      </c>
      <c r="X88" s="50">
        <v>0.008475</v>
      </c>
      <c r="Y88" s="50">
        <v>0</v>
      </c>
      <c r="Z88" s="50">
        <v>0</v>
      </c>
      <c r="AA88" s="98">
        <v>88</v>
      </c>
      <c r="AB88" s="98"/>
      <c r="AC88" s="99"/>
      <c r="AD88" s="68" t="s">
        <v>1047</v>
      </c>
      <c r="AE88" s="73" t="s">
        <v>1155</v>
      </c>
      <c r="AF88" s="68">
        <v>296</v>
      </c>
      <c r="AG88" s="68">
        <v>680</v>
      </c>
      <c r="AH88" s="68">
        <v>807</v>
      </c>
      <c r="AI88" s="68">
        <v>123</v>
      </c>
      <c r="AJ88" s="68"/>
      <c r="AK88" s="68" t="s">
        <v>1264</v>
      </c>
      <c r="AL88" s="68" t="s">
        <v>327</v>
      </c>
      <c r="AM88" s="72" t="str">
        <f>HYPERLINK("https://t.co/hBb4D2bJzc")</f>
        <v>https://t.co/hBb4D2bJzc</v>
      </c>
      <c r="AN88" s="68"/>
      <c r="AO88" s="70">
        <v>41333.36655092592</v>
      </c>
      <c r="AP88" s="72" t="str">
        <f>HYPERLINK("https://pbs.twimg.com/profile_banners/1227079747/1628986777")</f>
        <v>https://pbs.twimg.com/profile_banners/1227079747/1628986777</v>
      </c>
      <c r="AQ88" s="68" t="b">
        <v>0</v>
      </c>
      <c r="AR88" s="68" t="b">
        <v>0</v>
      </c>
      <c r="AS88" s="68" t="b">
        <v>1</v>
      </c>
      <c r="AT88" s="68"/>
      <c r="AU88" s="68">
        <v>12</v>
      </c>
      <c r="AV88" s="72" t="str">
        <f>HYPERLINK("https://abs.twimg.com/images/themes/theme13/bg.gif")</f>
        <v>https://abs.twimg.com/images/themes/theme13/bg.gif</v>
      </c>
      <c r="AW88" s="68" t="b">
        <v>0</v>
      </c>
      <c r="AX88" s="68" t="s">
        <v>331</v>
      </c>
      <c r="AY88" s="72" t="str">
        <f>HYPERLINK("https://twitter.com/iscouncil_")</f>
        <v>https://twitter.com/iscouncil_</v>
      </c>
      <c r="AZ88" s="68" t="s">
        <v>66</v>
      </c>
      <c r="BA88" s="67" t="str">
        <f>REPLACE(INDEX(GroupVertices[Group],MATCH(Vertices[[#This Row],[Vertex]],GroupVertices[Vertex],0)),1,1,"")</f>
        <v>2</v>
      </c>
      <c r="BB88" s="49">
        <v>1</v>
      </c>
      <c r="BC88" s="50">
        <v>3.3333333333333335</v>
      </c>
      <c r="BD88" s="49">
        <v>0</v>
      </c>
      <c r="BE88" s="50">
        <v>0</v>
      </c>
      <c r="BF88" s="49">
        <v>0</v>
      </c>
      <c r="BG88" s="50">
        <v>0</v>
      </c>
      <c r="BH88" s="49">
        <v>29</v>
      </c>
      <c r="BI88" s="50">
        <v>96.66666666666667</v>
      </c>
      <c r="BJ88" s="49">
        <v>30</v>
      </c>
      <c r="BK88" s="49" t="s">
        <v>1724</v>
      </c>
      <c r="BL88" s="49" t="s">
        <v>1724</v>
      </c>
      <c r="BM88" s="49" t="s">
        <v>702</v>
      </c>
      <c r="BN88" s="49" t="s">
        <v>702</v>
      </c>
      <c r="BO88" s="49" t="s">
        <v>717</v>
      </c>
      <c r="BP88" s="49" t="s">
        <v>717</v>
      </c>
      <c r="BQ88" s="92" t="s">
        <v>1946</v>
      </c>
      <c r="BR88" s="92" t="s">
        <v>1946</v>
      </c>
      <c r="BS88" s="92" t="s">
        <v>1987</v>
      </c>
      <c r="BT88" s="92" t="s">
        <v>1987</v>
      </c>
    </row>
    <row r="89" spans="1:72" ht="15">
      <c r="A89" s="66" t="s">
        <v>614</v>
      </c>
      <c r="B89" s="84"/>
      <c r="C89" s="84"/>
      <c r="D89" s="94">
        <v>100</v>
      </c>
      <c r="E89" s="104"/>
      <c r="F89" s="81" t="str">
        <f>HYPERLINK("https://pbs.twimg.com/profile_images/1400656170721759236/de-5bOBZ_normal.jpg")</f>
        <v>https://pbs.twimg.com/profile_images/1400656170721759236/de-5bOBZ_normal.jpg</v>
      </c>
      <c r="G89" s="105"/>
      <c r="H89" s="82" t="s">
        <v>614</v>
      </c>
      <c r="I89" s="97"/>
      <c r="J89" s="106"/>
      <c r="K89" s="82" t="s">
        <v>1435</v>
      </c>
      <c r="L89" s="107">
        <v>1</v>
      </c>
      <c r="M89" s="101">
        <v>4031.5634765625</v>
      </c>
      <c r="N89" s="101">
        <v>4384.7275390625</v>
      </c>
      <c r="O89" s="102"/>
      <c r="P89" s="103"/>
      <c r="Q89" s="103"/>
      <c r="R89" s="108"/>
      <c r="S89" s="49">
        <v>0</v>
      </c>
      <c r="T89" s="49">
        <v>1</v>
      </c>
      <c r="U89" s="50">
        <v>0</v>
      </c>
      <c r="V89" s="50">
        <v>0.053512</v>
      </c>
      <c r="W89" s="50">
        <v>0</v>
      </c>
      <c r="X89" s="50">
        <v>0.007444</v>
      </c>
      <c r="Y89" s="50">
        <v>0</v>
      </c>
      <c r="Z89" s="50">
        <v>0</v>
      </c>
      <c r="AA89" s="98">
        <v>89</v>
      </c>
      <c r="AB89" s="98"/>
      <c r="AC89" s="99"/>
      <c r="AD89" s="68" t="s">
        <v>1048</v>
      </c>
      <c r="AE89" s="73" t="s">
        <v>1156</v>
      </c>
      <c r="AF89" s="68">
        <v>5001</v>
      </c>
      <c r="AG89" s="68">
        <v>3009</v>
      </c>
      <c r="AH89" s="68">
        <v>81012</v>
      </c>
      <c r="AI89" s="68">
        <v>287643</v>
      </c>
      <c r="AJ89" s="68"/>
      <c r="AK89" s="68" t="s">
        <v>1265</v>
      </c>
      <c r="AL89" s="68" t="s">
        <v>1335</v>
      </c>
      <c r="AM89" s="72" t="str">
        <f>HYPERLINK("https://t.co/7AMxlPfHZB")</f>
        <v>https://t.co/7AMxlPfHZB</v>
      </c>
      <c r="AN89" s="68"/>
      <c r="AO89" s="70">
        <v>43435.16804398148</v>
      </c>
      <c r="AP89" s="72" t="str">
        <f>HYPERLINK("https://pbs.twimg.com/profile_banners/1068716815969280000/1622777431")</f>
        <v>https://pbs.twimg.com/profile_banners/1068716815969280000/1622777431</v>
      </c>
      <c r="AQ89" s="68" t="b">
        <v>0</v>
      </c>
      <c r="AR89" s="68" t="b">
        <v>0</v>
      </c>
      <c r="AS89" s="68" t="b">
        <v>1</v>
      </c>
      <c r="AT89" s="68"/>
      <c r="AU89" s="68">
        <v>32</v>
      </c>
      <c r="AV89" s="72" t="str">
        <f>HYPERLINK("https://abs.twimg.com/images/themes/theme1/bg.png")</f>
        <v>https://abs.twimg.com/images/themes/theme1/bg.png</v>
      </c>
      <c r="AW89" s="68" t="b">
        <v>0</v>
      </c>
      <c r="AX89" s="68" t="s">
        <v>331</v>
      </c>
      <c r="AY89" s="72" t="str">
        <f>HYPERLINK("https://twitter.com/otautaut")</f>
        <v>https://twitter.com/otautaut</v>
      </c>
      <c r="AZ89" s="68" t="s">
        <v>66</v>
      </c>
      <c r="BA89" s="67" t="str">
        <f>REPLACE(INDEX(GroupVertices[Group],MATCH(Vertices[[#This Row],[Vertex]],GroupVertices[Vertex],0)),1,1,"")</f>
        <v>3</v>
      </c>
      <c r="BB89" s="49">
        <v>1</v>
      </c>
      <c r="BC89" s="50">
        <v>2.3255813953488373</v>
      </c>
      <c r="BD89" s="49">
        <v>0</v>
      </c>
      <c r="BE89" s="50">
        <v>0</v>
      </c>
      <c r="BF89" s="49">
        <v>0</v>
      </c>
      <c r="BG89" s="50">
        <v>0</v>
      </c>
      <c r="BH89" s="49">
        <v>42</v>
      </c>
      <c r="BI89" s="50">
        <v>97.67441860465117</v>
      </c>
      <c r="BJ89" s="49">
        <v>43</v>
      </c>
      <c r="BK89" s="49"/>
      <c r="BL89" s="49"/>
      <c r="BM89" s="49"/>
      <c r="BN89" s="49"/>
      <c r="BO89" s="49"/>
      <c r="BP89" s="49"/>
      <c r="BQ89" s="92" t="s">
        <v>1934</v>
      </c>
      <c r="BR89" s="92" t="s">
        <v>1934</v>
      </c>
      <c r="BS89" s="92" t="s">
        <v>1861</v>
      </c>
      <c r="BT89" s="92" t="s">
        <v>1861</v>
      </c>
    </row>
    <row r="90" spans="1:72" ht="15">
      <c r="A90" s="66" t="s">
        <v>615</v>
      </c>
      <c r="B90" s="84"/>
      <c r="C90" s="84"/>
      <c r="D90" s="94">
        <v>100</v>
      </c>
      <c r="E90" s="104"/>
      <c r="F90" s="81" t="str">
        <f>HYPERLINK("https://pbs.twimg.com/profile_images/1363300913352380416/JpZOFKpj_normal.jpg")</f>
        <v>https://pbs.twimg.com/profile_images/1363300913352380416/JpZOFKpj_normal.jpg</v>
      </c>
      <c r="G90" s="105"/>
      <c r="H90" s="82" t="s">
        <v>615</v>
      </c>
      <c r="I90" s="97"/>
      <c r="J90" s="106"/>
      <c r="K90" s="82" t="s">
        <v>1436</v>
      </c>
      <c r="L90" s="107">
        <v>1</v>
      </c>
      <c r="M90" s="101">
        <v>5267.8349609375</v>
      </c>
      <c r="N90" s="101">
        <v>7307.40673828125</v>
      </c>
      <c r="O90" s="102"/>
      <c r="P90" s="103"/>
      <c r="Q90" s="103"/>
      <c r="R90" s="108"/>
      <c r="S90" s="49">
        <v>0</v>
      </c>
      <c r="T90" s="49">
        <v>1</v>
      </c>
      <c r="U90" s="50">
        <v>0</v>
      </c>
      <c r="V90" s="50">
        <v>0.053512</v>
      </c>
      <c r="W90" s="50">
        <v>0</v>
      </c>
      <c r="X90" s="50">
        <v>0.007444</v>
      </c>
      <c r="Y90" s="50">
        <v>0</v>
      </c>
      <c r="Z90" s="50">
        <v>0</v>
      </c>
      <c r="AA90" s="98">
        <v>90</v>
      </c>
      <c r="AB90" s="98"/>
      <c r="AC90" s="99"/>
      <c r="AD90" s="68" t="s">
        <v>1049</v>
      </c>
      <c r="AE90" s="73" t="s">
        <v>1157</v>
      </c>
      <c r="AF90" s="68">
        <v>307</v>
      </c>
      <c r="AG90" s="68">
        <v>190</v>
      </c>
      <c r="AH90" s="68">
        <v>1323</v>
      </c>
      <c r="AI90" s="68">
        <v>8323</v>
      </c>
      <c r="AJ90" s="68"/>
      <c r="AK90" s="68" t="s">
        <v>1266</v>
      </c>
      <c r="AL90" s="68" t="s">
        <v>1336</v>
      </c>
      <c r="AM90" s="68"/>
      <c r="AN90" s="68"/>
      <c r="AO90" s="70">
        <v>43814.10475694444</v>
      </c>
      <c r="AP90" s="72" t="str">
        <f>HYPERLINK("https://pbs.twimg.com/profile_banners/1206038793322561537/1576382275")</f>
        <v>https://pbs.twimg.com/profile_banners/1206038793322561537/1576382275</v>
      </c>
      <c r="AQ90" s="68" t="b">
        <v>1</v>
      </c>
      <c r="AR90" s="68" t="b">
        <v>0</v>
      </c>
      <c r="AS90" s="68" t="b">
        <v>0</v>
      </c>
      <c r="AT90" s="68"/>
      <c r="AU90" s="68">
        <v>0</v>
      </c>
      <c r="AV90" s="68"/>
      <c r="AW90" s="68" t="b">
        <v>0</v>
      </c>
      <c r="AX90" s="68" t="s">
        <v>331</v>
      </c>
      <c r="AY90" s="72" t="str">
        <f>HYPERLINK("https://twitter.com/leftiebynature")</f>
        <v>https://twitter.com/leftiebynature</v>
      </c>
      <c r="AZ90" s="68" t="s">
        <v>66</v>
      </c>
      <c r="BA90" s="67" t="str">
        <f>REPLACE(INDEX(GroupVertices[Group],MATCH(Vertices[[#This Row],[Vertex]],GroupVertices[Vertex],0)),1,1,"")</f>
        <v>3</v>
      </c>
      <c r="BB90" s="49">
        <v>1</v>
      </c>
      <c r="BC90" s="50">
        <v>2.3255813953488373</v>
      </c>
      <c r="BD90" s="49">
        <v>0</v>
      </c>
      <c r="BE90" s="50">
        <v>0</v>
      </c>
      <c r="BF90" s="49">
        <v>0</v>
      </c>
      <c r="BG90" s="50">
        <v>0</v>
      </c>
      <c r="BH90" s="49">
        <v>42</v>
      </c>
      <c r="BI90" s="50">
        <v>97.67441860465117</v>
      </c>
      <c r="BJ90" s="49">
        <v>43</v>
      </c>
      <c r="BK90" s="49"/>
      <c r="BL90" s="49"/>
      <c r="BM90" s="49"/>
      <c r="BN90" s="49"/>
      <c r="BO90" s="49"/>
      <c r="BP90" s="49"/>
      <c r="BQ90" s="92" t="s">
        <v>1934</v>
      </c>
      <c r="BR90" s="92" t="s">
        <v>1934</v>
      </c>
      <c r="BS90" s="92" t="s">
        <v>1861</v>
      </c>
      <c r="BT90" s="92" t="s">
        <v>1861</v>
      </c>
    </row>
    <row r="91" spans="1:72" ht="15">
      <c r="A91" s="66" t="s">
        <v>616</v>
      </c>
      <c r="B91" s="84"/>
      <c r="C91" s="84"/>
      <c r="D91" s="94">
        <v>100</v>
      </c>
      <c r="E91" s="104"/>
      <c r="F91" s="81" t="str">
        <f>HYPERLINK("https://pbs.twimg.com/profile_images/1516568495206858754/lSuH1e_Y_normal.jpg")</f>
        <v>https://pbs.twimg.com/profile_images/1516568495206858754/lSuH1e_Y_normal.jpg</v>
      </c>
      <c r="G91" s="105"/>
      <c r="H91" s="82" t="s">
        <v>616</v>
      </c>
      <c r="I91" s="97"/>
      <c r="J91" s="106"/>
      <c r="K91" s="82" t="s">
        <v>1437</v>
      </c>
      <c r="L91" s="107">
        <v>1</v>
      </c>
      <c r="M91" s="101">
        <v>2954.621826171875</v>
      </c>
      <c r="N91" s="101">
        <v>7260.1064453125</v>
      </c>
      <c r="O91" s="102"/>
      <c r="P91" s="103"/>
      <c r="Q91" s="103"/>
      <c r="R91" s="108"/>
      <c r="S91" s="49">
        <v>1</v>
      </c>
      <c r="T91" s="49">
        <v>2</v>
      </c>
      <c r="U91" s="50">
        <v>0</v>
      </c>
      <c r="V91" s="50">
        <v>0.100475</v>
      </c>
      <c r="W91" s="50">
        <v>0.170442</v>
      </c>
      <c r="X91" s="50">
        <v>0.008007</v>
      </c>
      <c r="Y91" s="50">
        <v>0</v>
      </c>
      <c r="Z91" s="50">
        <v>0</v>
      </c>
      <c r="AA91" s="98">
        <v>91</v>
      </c>
      <c r="AB91" s="98"/>
      <c r="AC91" s="99"/>
      <c r="AD91" s="68" t="s">
        <v>1050</v>
      </c>
      <c r="AE91" s="73" t="s">
        <v>1158</v>
      </c>
      <c r="AF91" s="68">
        <v>584</v>
      </c>
      <c r="AG91" s="68">
        <v>141</v>
      </c>
      <c r="AH91" s="68">
        <v>11731</v>
      </c>
      <c r="AI91" s="68">
        <v>47052</v>
      </c>
      <c r="AJ91" s="68"/>
      <c r="AK91" s="68" t="s">
        <v>1267</v>
      </c>
      <c r="AL91" s="68" t="s">
        <v>1337</v>
      </c>
      <c r="AM91" s="68"/>
      <c r="AN91" s="68"/>
      <c r="AO91" s="70">
        <v>44060.34984953704</v>
      </c>
      <c r="AP91" s="72" t="str">
        <f>HYPERLINK("https://pbs.twimg.com/profile_banners/1295274878694641664/1642139138")</f>
        <v>https://pbs.twimg.com/profile_banners/1295274878694641664/1642139138</v>
      </c>
      <c r="AQ91" s="68" t="b">
        <v>1</v>
      </c>
      <c r="AR91" s="68" t="b">
        <v>0</v>
      </c>
      <c r="AS91" s="68" t="b">
        <v>0</v>
      </c>
      <c r="AT91" s="68"/>
      <c r="AU91" s="68">
        <v>3</v>
      </c>
      <c r="AV91" s="68"/>
      <c r="AW91" s="68" t="b">
        <v>0</v>
      </c>
      <c r="AX91" s="68" t="s">
        <v>331</v>
      </c>
      <c r="AY91" s="72" t="str">
        <f>HYPERLINK("https://twitter.com/3ku1111")</f>
        <v>https://twitter.com/3ku1111</v>
      </c>
      <c r="AZ91" s="68" t="s">
        <v>66</v>
      </c>
      <c r="BA91" s="67" t="str">
        <f>REPLACE(INDEX(GroupVertices[Group],MATCH(Vertices[[#This Row],[Vertex]],GroupVertices[Vertex],0)),1,1,"")</f>
        <v>1</v>
      </c>
      <c r="BB91" s="49">
        <v>4</v>
      </c>
      <c r="BC91" s="50">
        <v>4.597701149425287</v>
      </c>
      <c r="BD91" s="49">
        <v>0</v>
      </c>
      <c r="BE91" s="50">
        <v>0</v>
      </c>
      <c r="BF91" s="49">
        <v>0</v>
      </c>
      <c r="BG91" s="50">
        <v>0</v>
      </c>
      <c r="BH91" s="49">
        <v>83</v>
      </c>
      <c r="BI91" s="50">
        <v>95.40229885057471</v>
      </c>
      <c r="BJ91" s="49">
        <v>87</v>
      </c>
      <c r="BK91" s="49"/>
      <c r="BL91" s="49"/>
      <c r="BM91" s="49"/>
      <c r="BN91" s="49"/>
      <c r="BO91" s="49" t="s">
        <v>718</v>
      </c>
      <c r="BP91" s="49" t="s">
        <v>718</v>
      </c>
      <c r="BQ91" s="92" t="s">
        <v>1947</v>
      </c>
      <c r="BR91" s="92" t="s">
        <v>1960</v>
      </c>
      <c r="BS91" s="92" t="s">
        <v>1988</v>
      </c>
      <c r="BT91" s="92" t="s">
        <v>1999</v>
      </c>
    </row>
    <row r="92" spans="1:72" ht="15">
      <c r="A92" s="66" t="s">
        <v>617</v>
      </c>
      <c r="B92" s="84"/>
      <c r="C92" s="84"/>
      <c r="D92" s="94">
        <v>100</v>
      </c>
      <c r="E92" s="104"/>
      <c r="F92" s="81" t="str">
        <f>HYPERLINK("https://pbs.twimg.com/profile_images/442907058044542976/GFUPkyFi_normal.jpeg")</f>
        <v>https://pbs.twimg.com/profile_images/442907058044542976/GFUPkyFi_normal.jpeg</v>
      </c>
      <c r="G92" s="105"/>
      <c r="H92" s="82" t="s">
        <v>617</v>
      </c>
      <c r="I92" s="97"/>
      <c r="J92" s="106"/>
      <c r="K92" s="82" t="s">
        <v>1438</v>
      </c>
      <c r="L92" s="107">
        <v>1</v>
      </c>
      <c r="M92" s="101">
        <v>5666.80615234375</v>
      </c>
      <c r="N92" s="101">
        <v>3687.971923828125</v>
      </c>
      <c r="O92" s="102"/>
      <c r="P92" s="103"/>
      <c r="Q92" s="103"/>
      <c r="R92" s="108"/>
      <c r="S92" s="49">
        <v>0</v>
      </c>
      <c r="T92" s="49">
        <v>1</v>
      </c>
      <c r="U92" s="50">
        <v>0</v>
      </c>
      <c r="V92" s="50">
        <v>0.011396</v>
      </c>
      <c r="W92" s="50">
        <v>0</v>
      </c>
      <c r="X92" s="50">
        <v>0.007704</v>
      </c>
      <c r="Y92" s="50">
        <v>0</v>
      </c>
      <c r="Z92" s="50">
        <v>0</v>
      </c>
      <c r="AA92" s="98">
        <v>92</v>
      </c>
      <c r="AB92" s="98"/>
      <c r="AC92" s="99"/>
      <c r="AD92" s="68" t="s">
        <v>1051</v>
      </c>
      <c r="AE92" s="73" t="s">
        <v>1159</v>
      </c>
      <c r="AF92" s="68">
        <v>4976</v>
      </c>
      <c r="AG92" s="68">
        <v>1241</v>
      </c>
      <c r="AH92" s="68">
        <v>195070</v>
      </c>
      <c r="AI92" s="68">
        <v>87675</v>
      </c>
      <c r="AJ92" s="68"/>
      <c r="AK92" s="68"/>
      <c r="AL92" s="68" t="s">
        <v>1338</v>
      </c>
      <c r="AM92" s="72" t="str">
        <f>HYPERLINK("https://t.co/uJNXNYQazi")</f>
        <v>https://t.co/uJNXNYQazi</v>
      </c>
      <c r="AN92" s="68"/>
      <c r="AO92" s="70">
        <v>41504.06997685185</v>
      </c>
      <c r="AP92" s="72" t="str">
        <f>HYPERLINK("https://pbs.twimg.com/profile_banners/1679568758/1405087749")</f>
        <v>https://pbs.twimg.com/profile_banners/1679568758/1405087749</v>
      </c>
      <c r="AQ92" s="68" t="b">
        <v>1</v>
      </c>
      <c r="AR92" s="68" t="b">
        <v>0</v>
      </c>
      <c r="AS92" s="68" t="b">
        <v>1</v>
      </c>
      <c r="AT92" s="68"/>
      <c r="AU92" s="68">
        <v>191</v>
      </c>
      <c r="AV92" s="72" t="str">
        <f>HYPERLINK("https://abs.twimg.com/images/themes/theme1/bg.png")</f>
        <v>https://abs.twimg.com/images/themes/theme1/bg.png</v>
      </c>
      <c r="AW92" s="68" t="b">
        <v>0</v>
      </c>
      <c r="AX92" s="68" t="s">
        <v>331</v>
      </c>
      <c r="AY92" s="72" t="str">
        <f>HYPERLINK("https://twitter.com/jimrosenz")</f>
        <v>https://twitter.com/jimrosenz</v>
      </c>
      <c r="AZ92" s="68" t="s">
        <v>66</v>
      </c>
      <c r="BA92" s="67" t="str">
        <f>REPLACE(INDEX(GroupVertices[Group],MATCH(Vertices[[#This Row],[Vertex]],GroupVertices[Vertex],0)),1,1,"")</f>
        <v>12</v>
      </c>
      <c r="BB92" s="49">
        <v>0</v>
      </c>
      <c r="BC92" s="50">
        <v>0</v>
      </c>
      <c r="BD92" s="49">
        <v>0</v>
      </c>
      <c r="BE92" s="50">
        <v>0</v>
      </c>
      <c r="BF92" s="49">
        <v>0</v>
      </c>
      <c r="BG92" s="50">
        <v>0</v>
      </c>
      <c r="BH92" s="49">
        <v>35</v>
      </c>
      <c r="BI92" s="50">
        <v>100</v>
      </c>
      <c r="BJ92" s="49">
        <v>35</v>
      </c>
      <c r="BK92" s="49" t="s">
        <v>1709</v>
      </c>
      <c r="BL92" s="49" t="s">
        <v>1709</v>
      </c>
      <c r="BM92" s="49" t="s">
        <v>269</v>
      </c>
      <c r="BN92" s="49" t="s">
        <v>269</v>
      </c>
      <c r="BO92" s="49"/>
      <c r="BP92" s="49"/>
      <c r="BQ92" s="92" t="s">
        <v>1948</v>
      </c>
      <c r="BR92" s="92" t="s">
        <v>1948</v>
      </c>
      <c r="BS92" s="92" t="s">
        <v>1867</v>
      </c>
      <c r="BT92" s="92" t="s">
        <v>1867</v>
      </c>
    </row>
    <row r="93" spans="1:72" ht="15">
      <c r="A93" s="66" t="s">
        <v>620</v>
      </c>
      <c r="B93" s="84"/>
      <c r="C93" s="84"/>
      <c r="D93" s="94">
        <v>190</v>
      </c>
      <c r="E93" s="104"/>
      <c r="F93" s="81" t="str">
        <f>HYPERLINK("https://pbs.twimg.com/profile_images/1298490434147164160/f3vP1LJU_normal.jpg")</f>
        <v>https://pbs.twimg.com/profile_images/1298490434147164160/f3vP1LJU_normal.jpg</v>
      </c>
      <c r="G93" s="105"/>
      <c r="H93" s="82" t="s">
        <v>620</v>
      </c>
      <c r="I93" s="97"/>
      <c r="J93" s="106"/>
      <c r="K93" s="82" t="s">
        <v>1439</v>
      </c>
      <c r="L93" s="107">
        <v>40.51778656126482</v>
      </c>
      <c r="M93" s="101">
        <v>5666.80615234375</v>
      </c>
      <c r="N93" s="101">
        <v>2768.781494140625</v>
      </c>
      <c r="O93" s="102"/>
      <c r="P93" s="103"/>
      <c r="Q93" s="103"/>
      <c r="R93" s="108"/>
      <c r="S93" s="49">
        <v>3</v>
      </c>
      <c r="T93" s="49">
        <v>1</v>
      </c>
      <c r="U93" s="50">
        <v>2</v>
      </c>
      <c r="V93" s="50">
        <v>0.017094</v>
      </c>
      <c r="W93" s="50">
        <v>0</v>
      </c>
      <c r="X93" s="50">
        <v>0.010015</v>
      </c>
      <c r="Y93" s="50">
        <v>0</v>
      </c>
      <c r="Z93" s="50">
        <v>0</v>
      </c>
      <c r="AA93" s="98">
        <v>93</v>
      </c>
      <c r="AB93" s="98"/>
      <c r="AC93" s="99"/>
      <c r="AD93" s="68" t="s">
        <v>1052</v>
      </c>
      <c r="AE93" s="73" t="s">
        <v>1160</v>
      </c>
      <c r="AF93" s="68">
        <v>333</v>
      </c>
      <c r="AG93" s="68">
        <v>84426</v>
      </c>
      <c r="AH93" s="68">
        <v>75738</v>
      </c>
      <c r="AI93" s="68">
        <v>4411</v>
      </c>
      <c r="AJ93" s="68"/>
      <c r="AK93" s="68" t="s">
        <v>1268</v>
      </c>
      <c r="AL93" s="68"/>
      <c r="AM93" s="72" t="str">
        <f>HYPERLINK("https://t.co/k76F70SGBx")</f>
        <v>https://t.co/k76F70SGBx</v>
      </c>
      <c r="AN93" s="68"/>
      <c r="AO93" s="70">
        <v>39960.94752314815</v>
      </c>
      <c r="AP93" s="72" t="str">
        <f>HYPERLINK("https://pbs.twimg.com/profile_banners/42985637/1650520222")</f>
        <v>https://pbs.twimg.com/profile_banners/42985637/1650520222</v>
      </c>
      <c r="AQ93" s="68" t="b">
        <v>0</v>
      </c>
      <c r="AR93" s="68" t="b">
        <v>0</v>
      </c>
      <c r="AS93" s="68" t="b">
        <v>1</v>
      </c>
      <c r="AT93" s="68"/>
      <c r="AU93" s="68">
        <v>748</v>
      </c>
      <c r="AV93" s="72" t="str">
        <f>HYPERLINK("https://abs.twimg.com/images/themes/theme1/bg.png")</f>
        <v>https://abs.twimg.com/images/themes/theme1/bg.png</v>
      </c>
      <c r="AW93" s="68" t="b">
        <v>1</v>
      </c>
      <c r="AX93" s="68" t="s">
        <v>331</v>
      </c>
      <c r="AY93" s="72" t="str">
        <f>HYPERLINK("https://twitter.com/radionz")</f>
        <v>https://twitter.com/radionz</v>
      </c>
      <c r="AZ93" s="68" t="s">
        <v>66</v>
      </c>
      <c r="BA93" s="67" t="str">
        <f>REPLACE(INDEX(GroupVertices[Group],MATCH(Vertices[[#This Row],[Vertex]],GroupVertices[Vertex],0)),1,1,"")</f>
        <v>12</v>
      </c>
      <c r="BB93" s="49">
        <v>0</v>
      </c>
      <c r="BC93" s="50">
        <v>0</v>
      </c>
      <c r="BD93" s="49">
        <v>0</v>
      </c>
      <c r="BE93" s="50">
        <v>0</v>
      </c>
      <c r="BF93" s="49">
        <v>0</v>
      </c>
      <c r="BG93" s="50">
        <v>0</v>
      </c>
      <c r="BH93" s="49">
        <v>35</v>
      </c>
      <c r="BI93" s="50">
        <v>100</v>
      </c>
      <c r="BJ93" s="49">
        <v>35</v>
      </c>
      <c r="BK93" s="49" t="s">
        <v>1709</v>
      </c>
      <c r="BL93" s="49" t="s">
        <v>1709</v>
      </c>
      <c r="BM93" s="49" t="s">
        <v>269</v>
      </c>
      <c r="BN93" s="49" t="s">
        <v>269</v>
      </c>
      <c r="BO93" s="49"/>
      <c r="BP93" s="49"/>
      <c r="BQ93" s="92" t="s">
        <v>1948</v>
      </c>
      <c r="BR93" s="92" t="s">
        <v>1948</v>
      </c>
      <c r="BS93" s="92" t="s">
        <v>1867</v>
      </c>
      <c r="BT93" s="92" t="s">
        <v>1867</v>
      </c>
    </row>
    <row r="94" spans="1:72" ht="15">
      <c r="A94" s="66" t="s">
        <v>618</v>
      </c>
      <c r="B94" s="84"/>
      <c r="C94" s="84"/>
      <c r="D94" s="94">
        <v>100</v>
      </c>
      <c r="E94" s="104"/>
      <c r="F94" s="81" t="str">
        <f>HYPERLINK("https://pbs.twimg.com/profile_images/1509402652119298053/6dJa4CvD_normal.jpg")</f>
        <v>https://pbs.twimg.com/profile_images/1509402652119298053/6dJa4CvD_normal.jpg</v>
      </c>
      <c r="G94" s="105"/>
      <c r="H94" s="82" t="s">
        <v>618</v>
      </c>
      <c r="I94" s="97"/>
      <c r="J94" s="106"/>
      <c r="K94" s="82" t="s">
        <v>1440</v>
      </c>
      <c r="L94" s="107">
        <v>1</v>
      </c>
      <c r="M94" s="101">
        <v>8883.2919921875</v>
      </c>
      <c r="N94" s="101">
        <v>683.7881469726562</v>
      </c>
      <c r="O94" s="102"/>
      <c r="P94" s="103"/>
      <c r="Q94" s="103"/>
      <c r="R94" s="108"/>
      <c r="S94" s="49">
        <v>2</v>
      </c>
      <c r="T94" s="49">
        <v>1</v>
      </c>
      <c r="U94" s="50">
        <v>0</v>
      </c>
      <c r="V94" s="50">
        <v>0.008547</v>
      </c>
      <c r="W94" s="50">
        <v>0</v>
      </c>
      <c r="X94" s="50">
        <v>0.009066</v>
      </c>
      <c r="Y94" s="50">
        <v>0</v>
      </c>
      <c r="Z94" s="50">
        <v>0</v>
      </c>
      <c r="AA94" s="98">
        <v>94</v>
      </c>
      <c r="AB94" s="98"/>
      <c r="AC94" s="99"/>
      <c r="AD94" s="68" t="s">
        <v>1053</v>
      </c>
      <c r="AE94" s="73" t="s">
        <v>1161</v>
      </c>
      <c r="AF94" s="68">
        <v>1483</v>
      </c>
      <c r="AG94" s="68">
        <v>3470</v>
      </c>
      <c r="AH94" s="68">
        <v>9231</v>
      </c>
      <c r="AI94" s="68">
        <v>15874</v>
      </c>
      <c r="AJ94" s="68"/>
      <c r="AK94" s="68" t="s">
        <v>1269</v>
      </c>
      <c r="AL94" s="68" t="s">
        <v>1339</v>
      </c>
      <c r="AM94" s="72" t="str">
        <f>HYPERLINK("https://t.co/kohv3rl1rc")</f>
        <v>https://t.co/kohv3rl1rc</v>
      </c>
      <c r="AN94" s="68"/>
      <c r="AO94" s="70">
        <v>39736.14685185185</v>
      </c>
      <c r="AP94" s="72" t="str">
        <f>HYPERLINK("https://pbs.twimg.com/profile_banners/16753794/1520492769")</f>
        <v>https://pbs.twimg.com/profile_banners/16753794/1520492769</v>
      </c>
      <c r="AQ94" s="68" t="b">
        <v>0</v>
      </c>
      <c r="AR94" s="68" t="b">
        <v>0</v>
      </c>
      <c r="AS94" s="68" t="b">
        <v>1</v>
      </c>
      <c r="AT94" s="68"/>
      <c r="AU94" s="68">
        <v>63</v>
      </c>
      <c r="AV94" s="72" t="str">
        <f>HYPERLINK("https://abs.twimg.com/images/themes/theme5/bg.gif")</f>
        <v>https://abs.twimg.com/images/themes/theme5/bg.gif</v>
      </c>
      <c r="AW94" s="68" t="b">
        <v>0</v>
      </c>
      <c r="AX94" s="68" t="s">
        <v>331</v>
      </c>
      <c r="AY94" s="72" t="str">
        <f>HYPERLINK("https://twitter.com/bjafari")</f>
        <v>https://twitter.com/bjafari</v>
      </c>
      <c r="AZ94" s="68" t="s">
        <v>66</v>
      </c>
      <c r="BA94" s="67" t="str">
        <f>REPLACE(INDEX(GroupVertices[Group],MATCH(Vertices[[#This Row],[Vertex]],GroupVertices[Vertex],0)),1,1,"")</f>
        <v>17</v>
      </c>
      <c r="BB94" s="49">
        <v>2</v>
      </c>
      <c r="BC94" s="50">
        <v>6.25</v>
      </c>
      <c r="BD94" s="49">
        <v>0</v>
      </c>
      <c r="BE94" s="50">
        <v>0</v>
      </c>
      <c r="BF94" s="49">
        <v>0</v>
      </c>
      <c r="BG94" s="50">
        <v>0</v>
      </c>
      <c r="BH94" s="49">
        <v>30</v>
      </c>
      <c r="BI94" s="50">
        <v>93.75</v>
      </c>
      <c r="BJ94" s="49">
        <v>32</v>
      </c>
      <c r="BK94" s="49" t="s">
        <v>1708</v>
      </c>
      <c r="BL94" s="49" t="s">
        <v>1708</v>
      </c>
      <c r="BM94" s="49" t="s">
        <v>269</v>
      </c>
      <c r="BN94" s="49" t="s">
        <v>269</v>
      </c>
      <c r="BO94" s="49"/>
      <c r="BP94" s="49"/>
      <c r="BQ94" s="92" t="s">
        <v>1949</v>
      </c>
      <c r="BR94" s="92" t="s">
        <v>1949</v>
      </c>
      <c r="BS94" s="92" t="s">
        <v>1869</v>
      </c>
      <c r="BT94" s="92" t="s">
        <v>1869</v>
      </c>
    </row>
    <row r="95" spans="1:72" ht="15">
      <c r="A95" s="66" t="s">
        <v>619</v>
      </c>
      <c r="B95" s="84"/>
      <c r="C95" s="84"/>
      <c r="D95" s="94">
        <v>100</v>
      </c>
      <c r="E95" s="104"/>
      <c r="F95" s="81" t="str">
        <f>HYPERLINK("https://pbs.twimg.com/profile_images/1404947351886721032/DL8rdwb4_normal.jpg")</f>
        <v>https://pbs.twimg.com/profile_images/1404947351886721032/DL8rdwb4_normal.jpg</v>
      </c>
      <c r="G95" s="105"/>
      <c r="H95" s="82" t="s">
        <v>619</v>
      </c>
      <c r="I95" s="97"/>
      <c r="J95" s="106"/>
      <c r="K95" s="82" t="s">
        <v>1441</v>
      </c>
      <c r="L95" s="107">
        <v>1</v>
      </c>
      <c r="M95" s="101">
        <v>9532.9453125</v>
      </c>
      <c r="N95" s="101">
        <v>683.7881469726562</v>
      </c>
      <c r="O95" s="102"/>
      <c r="P95" s="103"/>
      <c r="Q95" s="103"/>
      <c r="R95" s="108"/>
      <c r="S95" s="49">
        <v>0</v>
      </c>
      <c r="T95" s="49">
        <v>1</v>
      </c>
      <c r="U95" s="50">
        <v>0</v>
      </c>
      <c r="V95" s="50">
        <v>0.008547</v>
      </c>
      <c r="W95" s="50">
        <v>0</v>
      </c>
      <c r="X95" s="50">
        <v>0.007883</v>
      </c>
      <c r="Y95" s="50">
        <v>0</v>
      </c>
      <c r="Z95" s="50">
        <v>0</v>
      </c>
      <c r="AA95" s="98">
        <v>95</v>
      </c>
      <c r="AB95" s="98"/>
      <c r="AC95" s="99"/>
      <c r="AD95" s="68" t="s">
        <v>1054</v>
      </c>
      <c r="AE95" s="73" t="s">
        <v>1162</v>
      </c>
      <c r="AF95" s="68">
        <v>9509</v>
      </c>
      <c r="AG95" s="68">
        <v>9432</v>
      </c>
      <c r="AH95" s="68">
        <v>1327607</v>
      </c>
      <c r="AI95" s="68">
        <v>1463953</v>
      </c>
      <c r="AJ95" s="68"/>
      <c r="AK95" s="68" t="s">
        <v>1270</v>
      </c>
      <c r="AL95" s="68" t="s">
        <v>1340</v>
      </c>
      <c r="AM95" s="68"/>
      <c r="AN95" s="68"/>
      <c r="AO95" s="70">
        <v>41244.96523148148</v>
      </c>
      <c r="AP95" s="72" t="str">
        <f>HYPERLINK("https://pbs.twimg.com/profile_banners/983508625/1623800527")</f>
        <v>https://pbs.twimg.com/profile_banners/983508625/1623800527</v>
      </c>
      <c r="AQ95" s="68" t="b">
        <v>0</v>
      </c>
      <c r="AR95" s="68" t="b">
        <v>0</v>
      </c>
      <c r="AS95" s="68" t="b">
        <v>0</v>
      </c>
      <c r="AT95" s="68"/>
      <c r="AU95" s="68">
        <v>1435</v>
      </c>
      <c r="AV95" s="72" t="str">
        <f>HYPERLINK("https://abs.twimg.com/images/themes/theme1/bg.png")</f>
        <v>https://abs.twimg.com/images/themes/theme1/bg.png</v>
      </c>
      <c r="AW95" s="68" t="b">
        <v>0</v>
      </c>
      <c r="AX95" s="68" t="s">
        <v>331</v>
      </c>
      <c r="AY95" s="72" t="str">
        <f>HYPERLINK("https://twitter.com/geoffrey_payne")</f>
        <v>https://twitter.com/geoffrey_payne</v>
      </c>
      <c r="AZ95" s="68" t="s">
        <v>66</v>
      </c>
      <c r="BA95" s="67" t="str">
        <f>REPLACE(INDEX(GroupVertices[Group],MATCH(Vertices[[#This Row],[Vertex]],GroupVertices[Vertex],0)),1,1,"")</f>
        <v>17</v>
      </c>
      <c r="BB95" s="49">
        <v>2</v>
      </c>
      <c r="BC95" s="50">
        <v>6.25</v>
      </c>
      <c r="BD95" s="49">
        <v>0</v>
      </c>
      <c r="BE95" s="50">
        <v>0</v>
      </c>
      <c r="BF95" s="49">
        <v>0</v>
      </c>
      <c r="BG95" s="50">
        <v>0</v>
      </c>
      <c r="BH95" s="49">
        <v>30</v>
      </c>
      <c r="BI95" s="50">
        <v>93.75</v>
      </c>
      <c r="BJ95" s="49">
        <v>32</v>
      </c>
      <c r="BK95" s="49" t="s">
        <v>1708</v>
      </c>
      <c r="BL95" s="49" t="s">
        <v>1708</v>
      </c>
      <c r="BM95" s="49" t="s">
        <v>269</v>
      </c>
      <c r="BN95" s="49" t="s">
        <v>269</v>
      </c>
      <c r="BO95" s="49"/>
      <c r="BP95" s="49"/>
      <c r="BQ95" s="92" t="s">
        <v>1949</v>
      </c>
      <c r="BR95" s="92" t="s">
        <v>1949</v>
      </c>
      <c r="BS95" s="92" t="s">
        <v>1869</v>
      </c>
      <c r="BT95" s="92" t="s">
        <v>1869</v>
      </c>
    </row>
    <row r="96" spans="1:72" ht="15">
      <c r="A96" s="66" t="s">
        <v>621</v>
      </c>
      <c r="B96" s="84"/>
      <c r="C96" s="84"/>
      <c r="D96" s="94">
        <v>100</v>
      </c>
      <c r="E96" s="104"/>
      <c r="F96" s="81" t="str">
        <f>HYPERLINK("https://pbs.twimg.com/profile_images/1511890587586560000/xGb_Dq_D_normal.jpg")</f>
        <v>https://pbs.twimg.com/profile_images/1511890587586560000/xGb_Dq_D_normal.jpg</v>
      </c>
      <c r="G96" s="105"/>
      <c r="H96" s="82" t="s">
        <v>621</v>
      </c>
      <c r="I96" s="97"/>
      <c r="J96" s="106"/>
      <c r="K96" s="82" t="s">
        <v>1442</v>
      </c>
      <c r="L96" s="107">
        <v>1</v>
      </c>
      <c r="M96" s="101">
        <v>6182.291015625</v>
      </c>
      <c r="N96" s="101">
        <v>3687.971923828125</v>
      </c>
      <c r="O96" s="102"/>
      <c r="P96" s="103"/>
      <c r="Q96" s="103"/>
      <c r="R96" s="108"/>
      <c r="S96" s="49">
        <v>0</v>
      </c>
      <c r="T96" s="49">
        <v>1</v>
      </c>
      <c r="U96" s="50">
        <v>0</v>
      </c>
      <c r="V96" s="50">
        <v>0.011396</v>
      </c>
      <c r="W96" s="50">
        <v>0</v>
      </c>
      <c r="X96" s="50">
        <v>0.007704</v>
      </c>
      <c r="Y96" s="50">
        <v>0</v>
      </c>
      <c r="Z96" s="50">
        <v>0</v>
      </c>
      <c r="AA96" s="98">
        <v>96</v>
      </c>
      <c r="AB96" s="98"/>
      <c r="AC96" s="99"/>
      <c r="AD96" s="68" t="s">
        <v>1055</v>
      </c>
      <c r="AE96" s="73" t="s">
        <v>1163</v>
      </c>
      <c r="AF96" s="68">
        <v>3642</v>
      </c>
      <c r="AG96" s="68">
        <v>34576</v>
      </c>
      <c r="AH96" s="68">
        <v>43099</v>
      </c>
      <c r="AI96" s="68">
        <v>29085</v>
      </c>
      <c r="AJ96" s="68"/>
      <c r="AK96" s="68" t="s">
        <v>1271</v>
      </c>
      <c r="AL96" s="68" t="s">
        <v>1341</v>
      </c>
      <c r="AM96" s="72" t="str">
        <f>HYPERLINK("https://t.co/RiZ0brwPUV")</f>
        <v>https://t.co/RiZ0brwPUV</v>
      </c>
      <c r="AN96" s="68"/>
      <c r="AO96" s="70">
        <v>39933.356782407405</v>
      </c>
      <c r="AP96" s="72" t="str">
        <f>HYPERLINK("https://pbs.twimg.com/profile_banners/36624001/1649297791")</f>
        <v>https://pbs.twimg.com/profile_banners/36624001/1649297791</v>
      </c>
      <c r="AQ96" s="68" t="b">
        <v>0</v>
      </c>
      <c r="AR96" s="68" t="b">
        <v>0</v>
      </c>
      <c r="AS96" s="68" t="b">
        <v>1</v>
      </c>
      <c r="AT96" s="68"/>
      <c r="AU96" s="68">
        <v>181</v>
      </c>
      <c r="AV96" s="72" t="str">
        <f>HYPERLINK("https://abs.twimg.com/images/themes/theme9/bg.gif")</f>
        <v>https://abs.twimg.com/images/themes/theme9/bg.gif</v>
      </c>
      <c r="AW96" s="68" t="b">
        <v>1</v>
      </c>
      <c r="AX96" s="68" t="s">
        <v>331</v>
      </c>
      <c r="AY96" s="72" t="str">
        <f>HYPERLINK("https://twitter.com/lordfusitua")</f>
        <v>https://twitter.com/lordfusitua</v>
      </c>
      <c r="AZ96" s="68" t="s">
        <v>66</v>
      </c>
      <c r="BA96" s="67" t="str">
        <f>REPLACE(INDEX(GroupVertices[Group],MATCH(Vertices[[#This Row],[Vertex]],GroupVertices[Vertex],0)),1,1,"")</f>
        <v>12</v>
      </c>
      <c r="BB96" s="49">
        <v>0</v>
      </c>
      <c r="BC96" s="50">
        <v>0</v>
      </c>
      <c r="BD96" s="49">
        <v>0</v>
      </c>
      <c r="BE96" s="50">
        <v>0</v>
      </c>
      <c r="BF96" s="49">
        <v>0</v>
      </c>
      <c r="BG96" s="50">
        <v>0</v>
      </c>
      <c r="BH96" s="49">
        <v>35</v>
      </c>
      <c r="BI96" s="50">
        <v>100</v>
      </c>
      <c r="BJ96" s="49">
        <v>35</v>
      </c>
      <c r="BK96" s="49" t="s">
        <v>1709</v>
      </c>
      <c r="BL96" s="49" t="s">
        <v>1709</v>
      </c>
      <c r="BM96" s="49" t="s">
        <v>269</v>
      </c>
      <c r="BN96" s="49" t="s">
        <v>269</v>
      </c>
      <c r="BO96" s="49"/>
      <c r="BP96" s="49"/>
      <c r="BQ96" s="92" t="s">
        <v>1948</v>
      </c>
      <c r="BR96" s="92" t="s">
        <v>1948</v>
      </c>
      <c r="BS96" s="92" t="s">
        <v>1867</v>
      </c>
      <c r="BT96" s="92" t="s">
        <v>1867</v>
      </c>
    </row>
    <row r="97" spans="1:72" ht="15">
      <c r="A97" s="66" t="s">
        <v>622</v>
      </c>
      <c r="B97" s="84"/>
      <c r="C97" s="84"/>
      <c r="D97" s="94">
        <v>100</v>
      </c>
      <c r="E97" s="104"/>
      <c r="F97" s="81" t="str">
        <f>HYPERLINK("https://pbs.twimg.com/profile_images/1116976358184214529/9Xp3aqge_normal.jpg")</f>
        <v>https://pbs.twimg.com/profile_images/1116976358184214529/9Xp3aqge_normal.jpg</v>
      </c>
      <c r="G97" s="105"/>
      <c r="H97" s="82" t="s">
        <v>622</v>
      </c>
      <c r="I97" s="97"/>
      <c r="J97" s="106"/>
      <c r="K97" s="82" t="s">
        <v>1443</v>
      </c>
      <c r="L97" s="107">
        <v>1</v>
      </c>
      <c r="M97" s="101">
        <v>951.4699096679688</v>
      </c>
      <c r="N97" s="101">
        <v>7070.1826171875</v>
      </c>
      <c r="O97" s="102"/>
      <c r="P97" s="103"/>
      <c r="Q97" s="103"/>
      <c r="R97" s="108"/>
      <c r="S97" s="49">
        <v>0</v>
      </c>
      <c r="T97" s="49">
        <v>1</v>
      </c>
      <c r="U97" s="50">
        <v>0</v>
      </c>
      <c r="V97" s="50">
        <v>0.100475</v>
      </c>
      <c r="W97" s="50">
        <v>0.138558</v>
      </c>
      <c r="X97" s="50">
        <v>0.007406</v>
      </c>
      <c r="Y97" s="50">
        <v>0</v>
      </c>
      <c r="Z97" s="50">
        <v>0</v>
      </c>
      <c r="AA97" s="98">
        <v>97</v>
      </c>
      <c r="AB97" s="98"/>
      <c r="AC97" s="99"/>
      <c r="AD97" s="68" t="s">
        <v>1056</v>
      </c>
      <c r="AE97" s="73" t="s">
        <v>1164</v>
      </c>
      <c r="AF97" s="68">
        <v>78</v>
      </c>
      <c r="AG97" s="68">
        <v>60</v>
      </c>
      <c r="AH97" s="68">
        <v>19256</v>
      </c>
      <c r="AI97" s="68">
        <v>35422</v>
      </c>
      <c r="AJ97" s="68"/>
      <c r="AK97" s="68"/>
      <c r="AL97" s="68" t="s">
        <v>1342</v>
      </c>
      <c r="AM97" s="68"/>
      <c r="AN97" s="68"/>
      <c r="AO97" s="70">
        <v>41481.24256944445</v>
      </c>
      <c r="AP97" s="72" t="str">
        <f>HYPERLINK("https://pbs.twimg.com/profile_banners/1622171635/1380604903")</f>
        <v>https://pbs.twimg.com/profile_banners/1622171635/1380604903</v>
      </c>
      <c r="AQ97" s="68" t="b">
        <v>1</v>
      </c>
      <c r="AR97" s="68" t="b">
        <v>0</v>
      </c>
      <c r="AS97" s="68" t="b">
        <v>0</v>
      </c>
      <c r="AT97" s="68"/>
      <c r="AU97" s="68">
        <v>2</v>
      </c>
      <c r="AV97" s="72" t="str">
        <f>HYPERLINK("https://abs.twimg.com/images/themes/theme1/bg.png")</f>
        <v>https://abs.twimg.com/images/themes/theme1/bg.png</v>
      </c>
      <c r="AW97" s="68" t="b">
        <v>0</v>
      </c>
      <c r="AX97" s="68" t="s">
        <v>331</v>
      </c>
      <c r="AY97" s="72" t="str">
        <f>HYPERLINK("https://twitter.com/emuga12")</f>
        <v>https://twitter.com/emuga12</v>
      </c>
      <c r="AZ97" s="68" t="s">
        <v>66</v>
      </c>
      <c r="BA97" s="67" t="str">
        <f>REPLACE(INDEX(GroupVertices[Group],MATCH(Vertices[[#This Row],[Vertex]],GroupVertices[Vertex],0)),1,1,"")</f>
        <v>1</v>
      </c>
      <c r="BB97" s="49">
        <v>1</v>
      </c>
      <c r="BC97" s="50">
        <v>2.272727272727273</v>
      </c>
      <c r="BD97" s="49">
        <v>0</v>
      </c>
      <c r="BE97" s="50">
        <v>0</v>
      </c>
      <c r="BF97" s="49">
        <v>0</v>
      </c>
      <c r="BG97" s="50">
        <v>0</v>
      </c>
      <c r="BH97" s="49">
        <v>43</v>
      </c>
      <c r="BI97" s="50">
        <v>97.72727272727273</v>
      </c>
      <c r="BJ97" s="49">
        <v>44</v>
      </c>
      <c r="BK97" s="49"/>
      <c r="BL97" s="49"/>
      <c r="BM97" s="49"/>
      <c r="BN97" s="49"/>
      <c r="BO97" s="49"/>
      <c r="BP97" s="49"/>
      <c r="BQ97" s="92" t="s">
        <v>1931</v>
      </c>
      <c r="BR97" s="92" t="s">
        <v>1931</v>
      </c>
      <c r="BS97" s="92" t="s">
        <v>1974</v>
      </c>
      <c r="BT97" s="92" t="s">
        <v>1974</v>
      </c>
    </row>
    <row r="98" spans="1:72" ht="15">
      <c r="A98" s="66" t="s">
        <v>623</v>
      </c>
      <c r="B98" s="84"/>
      <c r="C98" s="84"/>
      <c r="D98" s="94">
        <v>100</v>
      </c>
      <c r="E98" s="104"/>
      <c r="F98" s="81" t="str">
        <f>HYPERLINK("https://pbs.twimg.com/profile_images/1364502007055142912/VYk1wxxp_normal.jpg")</f>
        <v>https://pbs.twimg.com/profile_images/1364502007055142912/VYk1wxxp_normal.jpg</v>
      </c>
      <c r="G98" s="105"/>
      <c r="H98" s="82" t="s">
        <v>623</v>
      </c>
      <c r="I98" s="97"/>
      <c r="J98" s="106"/>
      <c r="K98" s="82" t="s">
        <v>1444</v>
      </c>
      <c r="L98" s="107">
        <v>1</v>
      </c>
      <c r="M98" s="101">
        <v>7333.306640625</v>
      </c>
      <c r="N98" s="101">
        <v>6445.5439453125</v>
      </c>
      <c r="O98" s="102"/>
      <c r="P98" s="103"/>
      <c r="Q98" s="103"/>
      <c r="R98" s="108"/>
      <c r="S98" s="49">
        <v>1</v>
      </c>
      <c r="T98" s="49">
        <v>1</v>
      </c>
      <c r="U98" s="50">
        <v>0</v>
      </c>
      <c r="V98" s="50">
        <v>0.017094</v>
      </c>
      <c r="W98" s="50">
        <v>0</v>
      </c>
      <c r="X98" s="50">
        <v>0.008475</v>
      </c>
      <c r="Y98" s="50">
        <v>0.5</v>
      </c>
      <c r="Z98" s="50">
        <v>0</v>
      </c>
      <c r="AA98" s="98">
        <v>98</v>
      </c>
      <c r="AB98" s="98"/>
      <c r="AC98" s="99"/>
      <c r="AD98" s="68" t="s">
        <v>1057</v>
      </c>
      <c r="AE98" s="73" t="s">
        <v>1165</v>
      </c>
      <c r="AF98" s="68">
        <v>3513</v>
      </c>
      <c r="AG98" s="68">
        <v>18583</v>
      </c>
      <c r="AH98" s="68">
        <v>21831</v>
      </c>
      <c r="AI98" s="68">
        <v>4813</v>
      </c>
      <c r="AJ98" s="68"/>
      <c r="AK98" s="68" t="s">
        <v>1272</v>
      </c>
      <c r="AL98" s="68" t="s">
        <v>326</v>
      </c>
      <c r="AM98" s="68"/>
      <c r="AN98" s="68"/>
      <c r="AO98" s="70">
        <v>40238.90431712963</v>
      </c>
      <c r="AP98" s="72" t="str">
        <f>HYPERLINK("https://pbs.twimg.com/profile_banners/118829680/1614157551")</f>
        <v>https://pbs.twimg.com/profile_banners/118829680/1614157551</v>
      </c>
      <c r="AQ98" s="68" t="b">
        <v>0</v>
      </c>
      <c r="AR98" s="68" t="b">
        <v>0</v>
      </c>
      <c r="AS98" s="68" t="b">
        <v>1</v>
      </c>
      <c r="AT98" s="68"/>
      <c r="AU98" s="68">
        <v>297</v>
      </c>
      <c r="AV98" s="72" t="str">
        <f>HYPERLINK("https://abs.twimg.com/images/themes/theme13/bg.gif")</f>
        <v>https://abs.twimg.com/images/themes/theme13/bg.gif</v>
      </c>
      <c r="AW98" s="68" t="b">
        <v>0</v>
      </c>
      <c r="AX98" s="68" t="s">
        <v>331</v>
      </c>
      <c r="AY98" s="72" t="str">
        <f>HYPERLINK("https://twitter.com/garethhughesnz")</f>
        <v>https://twitter.com/garethhughesnz</v>
      </c>
      <c r="AZ98" s="68" t="s">
        <v>66</v>
      </c>
      <c r="BA98" s="67" t="str">
        <f>REPLACE(INDEX(GroupVertices[Group],MATCH(Vertices[[#This Row],[Vertex]],GroupVertices[Vertex],0)),1,1,"")</f>
        <v>11</v>
      </c>
      <c r="BB98" s="49">
        <v>0</v>
      </c>
      <c r="BC98" s="50">
        <v>0</v>
      </c>
      <c r="BD98" s="49">
        <v>0</v>
      </c>
      <c r="BE98" s="50">
        <v>0</v>
      </c>
      <c r="BF98" s="49">
        <v>0</v>
      </c>
      <c r="BG98" s="50">
        <v>0</v>
      </c>
      <c r="BH98" s="49">
        <v>26</v>
      </c>
      <c r="BI98" s="50">
        <v>100</v>
      </c>
      <c r="BJ98" s="49">
        <v>26</v>
      </c>
      <c r="BK98" s="49" t="s">
        <v>1710</v>
      </c>
      <c r="BL98" s="49" t="s">
        <v>1710</v>
      </c>
      <c r="BM98" s="49" t="s">
        <v>269</v>
      </c>
      <c r="BN98" s="49" t="s">
        <v>269</v>
      </c>
      <c r="BO98" s="49"/>
      <c r="BP98" s="49"/>
      <c r="BQ98" s="92" t="s">
        <v>1950</v>
      </c>
      <c r="BR98" s="92" t="s">
        <v>1950</v>
      </c>
      <c r="BS98" s="92" t="s">
        <v>1866</v>
      </c>
      <c r="BT98" s="92" t="s">
        <v>1866</v>
      </c>
    </row>
    <row r="99" spans="1:72" ht="15">
      <c r="A99" s="66" t="s">
        <v>649</v>
      </c>
      <c r="B99" s="84"/>
      <c r="C99" s="84"/>
      <c r="D99" s="94">
        <v>100</v>
      </c>
      <c r="E99" s="104"/>
      <c r="F99" s="81" t="str">
        <f>HYPERLINK("https://pbs.twimg.com/profile_images/1462499546118848513/o2FEx5n1_normal.png")</f>
        <v>https://pbs.twimg.com/profile_images/1462499546118848513/o2FEx5n1_normal.png</v>
      </c>
      <c r="G99" s="105"/>
      <c r="H99" s="82" t="s">
        <v>649</v>
      </c>
      <c r="I99" s="97"/>
      <c r="J99" s="106"/>
      <c r="K99" s="82" t="s">
        <v>1445</v>
      </c>
      <c r="L99" s="107">
        <v>1</v>
      </c>
      <c r="M99" s="101">
        <v>6831.943359375</v>
      </c>
      <c r="N99" s="101">
        <v>6445.5439453125</v>
      </c>
      <c r="O99" s="102"/>
      <c r="P99" s="103"/>
      <c r="Q99" s="103"/>
      <c r="R99" s="108"/>
      <c r="S99" s="49">
        <v>2</v>
      </c>
      <c r="T99" s="49">
        <v>0</v>
      </c>
      <c r="U99" s="50">
        <v>0</v>
      </c>
      <c r="V99" s="50">
        <v>0.017094</v>
      </c>
      <c r="W99" s="50">
        <v>0</v>
      </c>
      <c r="X99" s="50">
        <v>0.008475</v>
      </c>
      <c r="Y99" s="50">
        <v>0.5</v>
      </c>
      <c r="Z99" s="50">
        <v>0</v>
      </c>
      <c r="AA99" s="98">
        <v>99</v>
      </c>
      <c r="AB99" s="98"/>
      <c r="AC99" s="99"/>
      <c r="AD99" s="68" t="s">
        <v>1058</v>
      </c>
      <c r="AE99" s="73" t="s">
        <v>1166</v>
      </c>
      <c r="AF99" s="68">
        <v>178</v>
      </c>
      <c r="AG99" s="68">
        <v>59735</v>
      </c>
      <c r="AH99" s="68">
        <v>46538</v>
      </c>
      <c r="AI99" s="68">
        <v>10460</v>
      </c>
      <c r="AJ99" s="68"/>
      <c r="AK99" s="68" t="s">
        <v>1273</v>
      </c>
      <c r="AL99" s="68" t="s">
        <v>326</v>
      </c>
      <c r="AM99" s="72" t="str">
        <f>HYPERLINK("https://t.co/wo0uttBtx6")</f>
        <v>https://t.co/wo0uttBtx6</v>
      </c>
      <c r="AN99" s="68"/>
      <c r="AO99" s="70">
        <v>41882.94011574074</v>
      </c>
      <c r="AP99" s="72" t="str">
        <f>HYPERLINK("https://pbs.twimg.com/profile_banners/2783063791/1637522040")</f>
        <v>https://pbs.twimg.com/profile_banners/2783063791/1637522040</v>
      </c>
      <c r="AQ99" s="68" t="b">
        <v>1</v>
      </c>
      <c r="AR99" s="68" t="b">
        <v>0</v>
      </c>
      <c r="AS99" s="68" t="b">
        <v>0</v>
      </c>
      <c r="AT99" s="68"/>
      <c r="AU99" s="68">
        <v>339</v>
      </c>
      <c r="AV99" s="72" t="str">
        <f>HYPERLINK("https://abs.twimg.com/images/themes/theme1/bg.png")</f>
        <v>https://abs.twimg.com/images/themes/theme1/bg.png</v>
      </c>
      <c r="AW99" s="68" t="b">
        <v>0</v>
      </c>
      <c r="AX99" s="68" t="s">
        <v>331</v>
      </c>
      <c r="AY99" s="72" t="str">
        <f>HYPERLINK("https://twitter.com/thespinofftv")</f>
        <v>https://twitter.com/thespinofftv</v>
      </c>
      <c r="AZ99" s="68" t="s">
        <v>65</v>
      </c>
      <c r="BA99" s="67"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row>
    <row r="100" spans="1:72" ht="15">
      <c r="A100" s="66" t="s">
        <v>624</v>
      </c>
      <c r="B100" s="84"/>
      <c r="C100" s="84"/>
      <c r="D100" s="94">
        <v>100</v>
      </c>
      <c r="E100" s="104"/>
      <c r="F100" s="81" t="str">
        <f>HYPERLINK("https://pbs.twimg.com/profile_images/1526754636014579713/oQvAjr0Y_normal.jpg")</f>
        <v>https://pbs.twimg.com/profile_images/1526754636014579713/oQvAjr0Y_normal.jpg</v>
      </c>
      <c r="G100" s="105"/>
      <c r="H100" s="82" t="s">
        <v>624</v>
      </c>
      <c r="I100" s="97"/>
      <c r="J100" s="106"/>
      <c r="K100" s="82" t="s">
        <v>1446</v>
      </c>
      <c r="L100" s="107">
        <v>1</v>
      </c>
      <c r="M100" s="101">
        <v>6831.943359375</v>
      </c>
      <c r="N100" s="101">
        <v>5481.5146484375</v>
      </c>
      <c r="O100" s="102"/>
      <c r="P100" s="103"/>
      <c r="Q100" s="103"/>
      <c r="R100" s="108"/>
      <c r="S100" s="49">
        <v>0</v>
      </c>
      <c r="T100" s="49">
        <v>2</v>
      </c>
      <c r="U100" s="50">
        <v>0</v>
      </c>
      <c r="V100" s="50">
        <v>0.017094</v>
      </c>
      <c r="W100" s="50">
        <v>0</v>
      </c>
      <c r="X100" s="50">
        <v>0.008475</v>
      </c>
      <c r="Y100" s="50">
        <v>0.5</v>
      </c>
      <c r="Z100" s="50">
        <v>0</v>
      </c>
      <c r="AA100" s="98">
        <v>100</v>
      </c>
      <c r="AB100" s="98"/>
      <c r="AC100" s="99"/>
      <c r="AD100" s="68" t="s">
        <v>1059</v>
      </c>
      <c r="AE100" s="73" t="s">
        <v>1167</v>
      </c>
      <c r="AF100" s="68">
        <v>51</v>
      </c>
      <c r="AG100" s="68">
        <v>36</v>
      </c>
      <c r="AH100" s="68">
        <v>15</v>
      </c>
      <c r="AI100" s="68">
        <v>0</v>
      </c>
      <c r="AJ100" s="68"/>
      <c r="AK100" s="68" t="s">
        <v>1274</v>
      </c>
      <c r="AL100" s="68" t="s">
        <v>1343</v>
      </c>
      <c r="AM100" s="72" t="str">
        <f>HYPERLINK("https://t.co/JYiWYh6a7u")</f>
        <v>https://t.co/JYiWYh6a7u</v>
      </c>
      <c r="AN100" s="68"/>
      <c r="AO100" s="70">
        <v>44679.06553240741</v>
      </c>
      <c r="AP100" s="72" t="str">
        <f>HYPERLINK("https://pbs.twimg.com/profile_banners/1519489867217915904/1651110099")</f>
        <v>https://pbs.twimg.com/profile_banners/1519489867217915904/1651110099</v>
      </c>
      <c r="AQ100" s="68" t="b">
        <v>1</v>
      </c>
      <c r="AR100" s="68" t="b">
        <v>0</v>
      </c>
      <c r="AS100" s="68" t="b">
        <v>0</v>
      </c>
      <c r="AT100" s="68"/>
      <c r="AU100" s="68">
        <v>0</v>
      </c>
      <c r="AV100" s="68"/>
      <c r="AW100" s="68" t="b">
        <v>0</v>
      </c>
      <c r="AX100" s="68" t="s">
        <v>331</v>
      </c>
      <c r="AY100" s="72" t="str">
        <f>HYPERLINK("https://twitter.com/weall_aotearoa")</f>
        <v>https://twitter.com/weall_aotearoa</v>
      </c>
      <c r="AZ100" s="68" t="s">
        <v>66</v>
      </c>
      <c r="BA100" s="67" t="str">
        <f>REPLACE(INDEX(GroupVertices[Group],MATCH(Vertices[[#This Row],[Vertex]],GroupVertices[Vertex],0)),1,1,"")</f>
        <v>11</v>
      </c>
      <c r="BB100" s="49">
        <v>0</v>
      </c>
      <c r="BC100" s="50">
        <v>0</v>
      </c>
      <c r="BD100" s="49">
        <v>0</v>
      </c>
      <c r="BE100" s="50">
        <v>0</v>
      </c>
      <c r="BF100" s="49">
        <v>0</v>
      </c>
      <c r="BG100" s="50">
        <v>0</v>
      </c>
      <c r="BH100" s="49">
        <v>26</v>
      </c>
      <c r="BI100" s="50">
        <v>100</v>
      </c>
      <c r="BJ100" s="49">
        <v>26</v>
      </c>
      <c r="BK100" s="49" t="s">
        <v>1710</v>
      </c>
      <c r="BL100" s="49" t="s">
        <v>1710</v>
      </c>
      <c r="BM100" s="49" t="s">
        <v>269</v>
      </c>
      <c r="BN100" s="49" t="s">
        <v>269</v>
      </c>
      <c r="BO100" s="49"/>
      <c r="BP100" s="49"/>
      <c r="BQ100" s="92" t="s">
        <v>1950</v>
      </c>
      <c r="BR100" s="92" t="s">
        <v>1950</v>
      </c>
      <c r="BS100" s="92" t="s">
        <v>1866</v>
      </c>
      <c r="BT100" s="92" t="s">
        <v>1866</v>
      </c>
    </row>
    <row r="101" spans="1:72" ht="15">
      <c r="A101" s="66" t="s">
        <v>626</v>
      </c>
      <c r="B101" s="84"/>
      <c r="C101" s="84"/>
      <c r="D101" s="94">
        <v>100</v>
      </c>
      <c r="E101" s="104"/>
      <c r="F101" s="81" t="str">
        <f>HYPERLINK("https://pbs.twimg.com/profile_images/1512171613139378176/dHrGkvuq_normal.jpg")</f>
        <v>https://pbs.twimg.com/profile_images/1512171613139378176/dHrGkvuq_normal.jpg</v>
      </c>
      <c r="G101" s="105"/>
      <c r="H101" s="82" t="s">
        <v>626</v>
      </c>
      <c r="I101" s="97"/>
      <c r="J101" s="106"/>
      <c r="K101" s="82" t="s">
        <v>1447</v>
      </c>
      <c r="L101" s="107">
        <v>1</v>
      </c>
      <c r="M101" s="101">
        <v>4419.650390625</v>
      </c>
      <c r="N101" s="101">
        <v>3318.0537109375</v>
      </c>
      <c r="O101" s="102"/>
      <c r="P101" s="103"/>
      <c r="Q101" s="103"/>
      <c r="R101" s="108"/>
      <c r="S101" s="49">
        <v>0</v>
      </c>
      <c r="T101" s="49">
        <v>1</v>
      </c>
      <c r="U101" s="50">
        <v>0</v>
      </c>
      <c r="V101" s="50">
        <v>0.053512</v>
      </c>
      <c r="W101" s="50">
        <v>0</v>
      </c>
      <c r="X101" s="50">
        <v>0.007444</v>
      </c>
      <c r="Y101" s="50">
        <v>0</v>
      </c>
      <c r="Z101" s="50">
        <v>0</v>
      </c>
      <c r="AA101" s="98">
        <v>101</v>
      </c>
      <c r="AB101" s="98"/>
      <c r="AC101" s="99"/>
      <c r="AD101" s="68" t="s">
        <v>1060</v>
      </c>
      <c r="AE101" s="73" t="s">
        <v>1168</v>
      </c>
      <c r="AF101" s="68">
        <v>1185</v>
      </c>
      <c r="AG101" s="68">
        <v>1154</v>
      </c>
      <c r="AH101" s="68">
        <v>23572</v>
      </c>
      <c r="AI101" s="68">
        <v>43337</v>
      </c>
      <c r="AJ101" s="68"/>
      <c r="AK101" s="68" t="s">
        <v>1275</v>
      </c>
      <c r="AL101" s="68" t="s">
        <v>1307</v>
      </c>
      <c r="AM101" s="68"/>
      <c r="AN101" s="68"/>
      <c r="AO101" s="70">
        <v>41749.41587962963</v>
      </c>
      <c r="AP101" s="72" t="str">
        <f>HYPERLINK("https://pbs.twimg.com/profile_banners/2454667705/1649364794")</f>
        <v>https://pbs.twimg.com/profile_banners/2454667705/1649364794</v>
      </c>
      <c r="AQ101" s="68" t="b">
        <v>0</v>
      </c>
      <c r="AR101" s="68" t="b">
        <v>0</v>
      </c>
      <c r="AS101" s="68" t="b">
        <v>1</v>
      </c>
      <c r="AT101" s="68"/>
      <c r="AU101" s="68">
        <v>49</v>
      </c>
      <c r="AV101" s="72" t="str">
        <f>HYPERLINK("https://abs.twimg.com/images/themes/theme1/bg.png")</f>
        <v>https://abs.twimg.com/images/themes/theme1/bg.png</v>
      </c>
      <c r="AW101" s="68" t="b">
        <v>0</v>
      </c>
      <c r="AX101" s="68" t="s">
        <v>331</v>
      </c>
      <c r="AY101" s="72" t="str">
        <f>HYPERLINK("https://twitter.com/envirdebbie")</f>
        <v>https://twitter.com/envirdebbie</v>
      </c>
      <c r="AZ101" s="68" t="s">
        <v>66</v>
      </c>
      <c r="BA101" s="67" t="str">
        <f>REPLACE(INDEX(GroupVertices[Group],MATCH(Vertices[[#This Row],[Vertex]],GroupVertices[Vertex],0)),1,1,"")</f>
        <v>3</v>
      </c>
      <c r="BB101" s="49">
        <v>1</v>
      </c>
      <c r="BC101" s="50">
        <v>2.3255813953488373</v>
      </c>
      <c r="BD101" s="49">
        <v>0</v>
      </c>
      <c r="BE101" s="50">
        <v>0</v>
      </c>
      <c r="BF101" s="49">
        <v>0</v>
      </c>
      <c r="BG101" s="50">
        <v>0</v>
      </c>
      <c r="BH101" s="49">
        <v>42</v>
      </c>
      <c r="BI101" s="50">
        <v>97.67441860465117</v>
      </c>
      <c r="BJ101" s="49">
        <v>43</v>
      </c>
      <c r="BK101" s="49"/>
      <c r="BL101" s="49"/>
      <c r="BM101" s="49"/>
      <c r="BN101" s="49"/>
      <c r="BO101" s="49"/>
      <c r="BP101" s="49"/>
      <c r="BQ101" s="92" t="s">
        <v>1934</v>
      </c>
      <c r="BR101" s="92" t="s">
        <v>1934</v>
      </c>
      <c r="BS101" s="92" t="s">
        <v>1861</v>
      </c>
      <c r="BT101" s="92" t="s">
        <v>1861</v>
      </c>
    </row>
    <row r="102" spans="1:72" ht="15">
      <c r="A102" s="66" t="s">
        <v>627</v>
      </c>
      <c r="B102" s="84"/>
      <c r="C102" s="84"/>
      <c r="D102" s="94">
        <v>100</v>
      </c>
      <c r="E102" s="104"/>
      <c r="F102" s="81" t="str">
        <f>HYPERLINK("https://pbs.twimg.com/profile_images/1124518934995013632/e7CqR2Cn_normal.jpg")</f>
        <v>https://pbs.twimg.com/profile_images/1124518934995013632/e7CqR2Cn_normal.jpg</v>
      </c>
      <c r="G102" s="105"/>
      <c r="H102" s="82" t="s">
        <v>627</v>
      </c>
      <c r="I102" s="97"/>
      <c r="J102" s="106"/>
      <c r="K102" s="82" t="s">
        <v>1448</v>
      </c>
      <c r="L102" s="107">
        <v>1</v>
      </c>
      <c r="M102" s="101">
        <v>8847.9853515625</v>
      </c>
      <c r="N102" s="101">
        <v>1877.6148681640625</v>
      </c>
      <c r="O102" s="102"/>
      <c r="P102" s="103"/>
      <c r="Q102" s="103"/>
      <c r="R102" s="108"/>
      <c r="S102" s="49">
        <v>0</v>
      </c>
      <c r="T102" s="49">
        <v>1</v>
      </c>
      <c r="U102" s="50">
        <v>0</v>
      </c>
      <c r="V102" s="50">
        <v>0.008547</v>
      </c>
      <c r="W102" s="50">
        <v>0</v>
      </c>
      <c r="X102" s="50">
        <v>0.008475</v>
      </c>
      <c r="Y102" s="50">
        <v>0</v>
      </c>
      <c r="Z102" s="50">
        <v>0</v>
      </c>
      <c r="AA102" s="98">
        <v>102</v>
      </c>
      <c r="AB102" s="98"/>
      <c r="AC102" s="99"/>
      <c r="AD102" s="68" t="s">
        <v>1061</v>
      </c>
      <c r="AE102" s="73" t="s">
        <v>1169</v>
      </c>
      <c r="AF102" s="68">
        <v>4903</v>
      </c>
      <c r="AG102" s="68">
        <v>677</v>
      </c>
      <c r="AH102" s="68">
        <v>70897</v>
      </c>
      <c r="AI102" s="68">
        <v>44757</v>
      </c>
      <c r="AJ102" s="68"/>
      <c r="AK102" s="68" t="s">
        <v>1276</v>
      </c>
      <c r="AL102" s="68"/>
      <c r="AM102" s="68"/>
      <c r="AN102" s="68"/>
      <c r="AO102" s="70">
        <v>43585.61662037037</v>
      </c>
      <c r="AP102" s="68"/>
      <c r="AQ102" s="68" t="b">
        <v>1</v>
      </c>
      <c r="AR102" s="68" t="b">
        <v>0</v>
      </c>
      <c r="AS102" s="68" t="b">
        <v>0</v>
      </c>
      <c r="AT102" s="68"/>
      <c r="AU102" s="68">
        <v>0</v>
      </c>
      <c r="AV102" s="68"/>
      <c r="AW102" s="68" t="b">
        <v>0</v>
      </c>
      <c r="AX102" s="68" t="s">
        <v>331</v>
      </c>
      <c r="AY102" s="72" t="str">
        <f>HYPERLINK("https://twitter.com/needlesineyes")</f>
        <v>https://twitter.com/needlesineyes</v>
      </c>
      <c r="AZ102" s="68" t="s">
        <v>66</v>
      </c>
      <c r="BA102" s="67" t="str">
        <f>REPLACE(INDEX(GroupVertices[Group],MATCH(Vertices[[#This Row],[Vertex]],GroupVertices[Vertex],0)),1,1,"")</f>
        <v>16</v>
      </c>
      <c r="BB102" s="49">
        <v>0</v>
      </c>
      <c r="BC102" s="50">
        <v>0</v>
      </c>
      <c r="BD102" s="49">
        <v>0</v>
      </c>
      <c r="BE102" s="50">
        <v>0</v>
      </c>
      <c r="BF102" s="49">
        <v>0</v>
      </c>
      <c r="BG102" s="50">
        <v>0</v>
      </c>
      <c r="BH102" s="49">
        <v>45</v>
      </c>
      <c r="BI102" s="50">
        <v>100</v>
      </c>
      <c r="BJ102" s="49">
        <v>45</v>
      </c>
      <c r="BK102" s="49"/>
      <c r="BL102" s="49"/>
      <c r="BM102" s="49"/>
      <c r="BN102" s="49"/>
      <c r="BO102" s="49" t="s">
        <v>719</v>
      </c>
      <c r="BP102" s="49" t="s">
        <v>719</v>
      </c>
      <c r="BQ102" s="92" t="s">
        <v>1951</v>
      </c>
      <c r="BR102" s="92" t="s">
        <v>1951</v>
      </c>
      <c r="BS102" s="92" t="s">
        <v>1989</v>
      </c>
      <c r="BT102" s="92" t="s">
        <v>1989</v>
      </c>
    </row>
    <row r="103" spans="1:72" ht="15">
      <c r="A103" s="66" t="s">
        <v>650</v>
      </c>
      <c r="B103" s="84"/>
      <c r="C103" s="84"/>
      <c r="D103" s="94">
        <v>100</v>
      </c>
      <c r="E103" s="104"/>
      <c r="F103" s="81" t="str">
        <f>HYPERLINK("https://pbs.twimg.com/profile_images/1497718948846252036/StQBQAjk_normal.jpg")</f>
        <v>https://pbs.twimg.com/profile_images/1497718948846252036/StQBQAjk_normal.jpg</v>
      </c>
      <c r="G103" s="105"/>
      <c r="H103" s="82" t="s">
        <v>650</v>
      </c>
      <c r="I103" s="97"/>
      <c r="J103" s="106"/>
      <c r="K103" s="82" t="s">
        <v>1449</v>
      </c>
      <c r="L103" s="107">
        <v>1</v>
      </c>
      <c r="M103" s="101">
        <v>8847.9853515625</v>
      </c>
      <c r="N103" s="101">
        <v>2897.6923828125</v>
      </c>
      <c r="O103" s="102"/>
      <c r="P103" s="103"/>
      <c r="Q103" s="103"/>
      <c r="R103" s="108"/>
      <c r="S103" s="49">
        <v>1</v>
      </c>
      <c r="T103" s="49">
        <v>0</v>
      </c>
      <c r="U103" s="50">
        <v>0</v>
      </c>
      <c r="V103" s="50">
        <v>0.008547</v>
      </c>
      <c r="W103" s="50">
        <v>0</v>
      </c>
      <c r="X103" s="50">
        <v>0.008475</v>
      </c>
      <c r="Y103" s="50">
        <v>0</v>
      </c>
      <c r="Z103" s="50">
        <v>0</v>
      </c>
      <c r="AA103" s="98">
        <v>103</v>
      </c>
      <c r="AB103" s="98"/>
      <c r="AC103" s="99"/>
      <c r="AD103" s="68" t="s">
        <v>1062</v>
      </c>
      <c r="AE103" s="73" t="s">
        <v>1170</v>
      </c>
      <c r="AF103" s="68">
        <v>1363</v>
      </c>
      <c r="AG103" s="68">
        <v>25221</v>
      </c>
      <c r="AH103" s="68">
        <v>2655</v>
      </c>
      <c r="AI103" s="68">
        <v>2364</v>
      </c>
      <c r="AJ103" s="68"/>
      <c r="AK103" s="68" t="s">
        <v>1277</v>
      </c>
      <c r="AL103" s="68" t="s">
        <v>1344</v>
      </c>
      <c r="AM103" s="72" t="str">
        <f>HYPERLINK("https://t.co/rqpesYScBM")</f>
        <v>https://t.co/rqpesYScBM</v>
      </c>
      <c r="AN103" s="68"/>
      <c r="AO103" s="70">
        <v>41611.14800925926</v>
      </c>
      <c r="AP103" s="72" t="str">
        <f>HYPERLINK("https://pbs.twimg.com/profile_banners/2227646515/1638413038")</f>
        <v>https://pbs.twimg.com/profile_banners/2227646515/1638413038</v>
      </c>
      <c r="AQ103" s="68" t="b">
        <v>0</v>
      </c>
      <c r="AR103" s="68" t="b">
        <v>0</v>
      </c>
      <c r="AS103" s="68" t="b">
        <v>1</v>
      </c>
      <c r="AT103" s="68"/>
      <c r="AU103" s="68">
        <v>99</v>
      </c>
      <c r="AV103" s="72" t="str">
        <f>HYPERLINK("https://abs.twimg.com/images/themes/theme1/bg.png")</f>
        <v>https://abs.twimg.com/images/themes/theme1/bg.png</v>
      </c>
      <c r="AW103" s="68" t="b">
        <v>1</v>
      </c>
      <c r="AX103" s="68" t="s">
        <v>331</v>
      </c>
      <c r="AY103" s="72" t="str">
        <f>HYPERLINK("https://twitter.com/chrisminnsmp")</f>
        <v>https://twitter.com/chrisminnsmp</v>
      </c>
      <c r="AZ103" s="68" t="s">
        <v>65</v>
      </c>
      <c r="BA103" s="67" t="str">
        <f>REPLACE(INDEX(GroupVertices[Group],MATCH(Vertices[[#This Row],[Vertex]],GroupVertices[Vertex],0)),1,1,"")</f>
        <v>16</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6" t="s">
        <v>260</v>
      </c>
      <c r="B104" s="84"/>
      <c r="C104" s="84"/>
      <c r="D104" s="94">
        <v>100</v>
      </c>
      <c r="E104" s="104"/>
      <c r="F104" s="81" t="str">
        <f>HYPERLINK("https://pbs.twimg.com/profile_images/1409156640889315332/DhEpWlb9_normal.jpg")</f>
        <v>https://pbs.twimg.com/profile_images/1409156640889315332/DhEpWlb9_normal.jpg</v>
      </c>
      <c r="G104" s="105"/>
      <c r="H104" s="82" t="s">
        <v>260</v>
      </c>
      <c r="I104" s="97"/>
      <c r="J104" s="106"/>
      <c r="K104" s="82" t="s">
        <v>337</v>
      </c>
      <c r="L104" s="107">
        <v>1</v>
      </c>
      <c r="M104" s="101">
        <v>8014.7353515625</v>
      </c>
      <c r="N104" s="101">
        <v>3037.812744140625</v>
      </c>
      <c r="O104" s="102"/>
      <c r="P104" s="103"/>
      <c r="Q104" s="103"/>
      <c r="R104" s="108"/>
      <c r="S104" s="49">
        <v>2</v>
      </c>
      <c r="T104" s="49">
        <v>1</v>
      </c>
      <c r="U104" s="50">
        <v>0</v>
      </c>
      <c r="V104" s="50">
        <v>0.008547</v>
      </c>
      <c r="W104" s="50">
        <v>0</v>
      </c>
      <c r="X104" s="50">
        <v>0.009066</v>
      </c>
      <c r="Y104" s="50">
        <v>0</v>
      </c>
      <c r="Z104" s="50">
        <v>0</v>
      </c>
      <c r="AA104" s="98">
        <v>104</v>
      </c>
      <c r="AB104" s="98"/>
      <c r="AC104" s="99"/>
      <c r="AD104" s="68" t="s">
        <v>315</v>
      </c>
      <c r="AE104" s="73" t="s">
        <v>321</v>
      </c>
      <c r="AF104" s="68">
        <v>68</v>
      </c>
      <c r="AG104" s="68">
        <v>43</v>
      </c>
      <c r="AH104" s="68">
        <v>15753</v>
      </c>
      <c r="AI104" s="68">
        <v>2</v>
      </c>
      <c r="AJ104" s="68"/>
      <c r="AK104" s="68"/>
      <c r="AL104" s="68" t="s">
        <v>330</v>
      </c>
      <c r="AM104" s="72" t="str">
        <f>HYPERLINK("https://t.co/MeFA8NBNm1")</f>
        <v>https://t.co/MeFA8NBNm1</v>
      </c>
      <c r="AN104" s="68"/>
      <c r="AO104" s="70">
        <v>40506.44672453704</v>
      </c>
      <c r="AP104" s="68"/>
      <c r="AQ104" s="68" t="b">
        <v>1</v>
      </c>
      <c r="AR104" s="68" t="b">
        <v>0</v>
      </c>
      <c r="AS104" s="68" t="b">
        <v>0</v>
      </c>
      <c r="AT104" s="68"/>
      <c r="AU104" s="68">
        <v>0</v>
      </c>
      <c r="AV104" s="72" t="str">
        <f>HYPERLINK("https://abs.twimg.com/images/themes/theme1/bg.png")</f>
        <v>https://abs.twimg.com/images/themes/theme1/bg.png</v>
      </c>
      <c r="AW104" s="68" t="b">
        <v>0</v>
      </c>
      <c r="AX104" s="68" t="s">
        <v>331</v>
      </c>
      <c r="AY104" s="72" t="str">
        <f>HYPERLINK("https://twitter.com/izzorv6")</f>
        <v>https://twitter.com/izzorv6</v>
      </c>
      <c r="AZ104" s="68" t="s">
        <v>66</v>
      </c>
      <c r="BA104" s="67" t="str">
        <f>REPLACE(INDEX(GroupVertices[Group],MATCH(Vertices[[#This Row],[Vertex]],GroupVertices[Vertex],0)),1,1,"")</f>
        <v>15</v>
      </c>
      <c r="BB104" s="49">
        <v>0</v>
      </c>
      <c r="BC104" s="50">
        <v>0</v>
      </c>
      <c r="BD104" s="49">
        <v>1</v>
      </c>
      <c r="BE104" s="50">
        <v>2.7777777777777777</v>
      </c>
      <c r="BF104" s="49">
        <v>0</v>
      </c>
      <c r="BG104" s="50">
        <v>0</v>
      </c>
      <c r="BH104" s="49">
        <v>35</v>
      </c>
      <c r="BI104" s="50">
        <v>97.22222222222223</v>
      </c>
      <c r="BJ104" s="49">
        <v>36</v>
      </c>
      <c r="BK104" s="49" t="s">
        <v>450</v>
      </c>
      <c r="BL104" s="49" t="s">
        <v>450</v>
      </c>
      <c r="BM104" s="49" t="s">
        <v>268</v>
      </c>
      <c r="BN104" s="49" t="s">
        <v>268</v>
      </c>
      <c r="BO104" s="49"/>
      <c r="BP104" s="49"/>
      <c r="BQ104" s="92" t="s">
        <v>528</v>
      </c>
      <c r="BR104" s="92" t="s">
        <v>528</v>
      </c>
      <c r="BS104" s="92" t="s">
        <v>500</v>
      </c>
      <c r="BT104" s="92" t="s">
        <v>500</v>
      </c>
    </row>
    <row r="105" spans="1:72" ht="15">
      <c r="A105" s="66" t="s">
        <v>256</v>
      </c>
      <c r="B105" s="84"/>
      <c r="C105" s="84"/>
      <c r="D105" s="94">
        <v>100</v>
      </c>
      <c r="E105" s="104"/>
      <c r="F105" s="81" t="str">
        <f>HYPERLINK("https://abs.twimg.com/sticky/default_profile_images/default_profile_normal.png")</f>
        <v>https://abs.twimg.com/sticky/default_profile_images/default_profile_normal.png</v>
      </c>
      <c r="G105" s="105"/>
      <c r="H105" s="82" t="s">
        <v>256</v>
      </c>
      <c r="I105" s="97"/>
      <c r="J105" s="106"/>
      <c r="K105" s="82" t="s">
        <v>332</v>
      </c>
      <c r="L105" s="107">
        <v>1</v>
      </c>
      <c r="M105" s="101">
        <v>8014.7353515625</v>
      </c>
      <c r="N105" s="101">
        <v>2297.9765625</v>
      </c>
      <c r="O105" s="102"/>
      <c r="P105" s="103"/>
      <c r="Q105" s="103"/>
      <c r="R105" s="108"/>
      <c r="S105" s="49">
        <v>0</v>
      </c>
      <c r="T105" s="49">
        <v>1</v>
      </c>
      <c r="U105" s="50">
        <v>0</v>
      </c>
      <c r="V105" s="50">
        <v>0.008547</v>
      </c>
      <c r="W105" s="50">
        <v>0</v>
      </c>
      <c r="X105" s="50">
        <v>0.007883</v>
      </c>
      <c r="Y105" s="50">
        <v>0</v>
      </c>
      <c r="Z105" s="50">
        <v>0</v>
      </c>
      <c r="AA105" s="98">
        <v>105</v>
      </c>
      <c r="AB105" s="98"/>
      <c r="AC105" s="99"/>
      <c r="AD105" s="68" t="s">
        <v>310</v>
      </c>
      <c r="AE105" s="73" t="s">
        <v>316</v>
      </c>
      <c r="AF105" s="68">
        <v>1</v>
      </c>
      <c r="AG105" s="68">
        <v>0</v>
      </c>
      <c r="AH105" s="68">
        <v>84</v>
      </c>
      <c r="AI105" s="68">
        <v>90</v>
      </c>
      <c r="AJ105" s="68"/>
      <c r="AK105" s="68"/>
      <c r="AL105" s="68"/>
      <c r="AM105" s="68"/>
      <c r="AN105" s="68"/>
      <c r="AO105" s="70">
        <v>44688.400416666664</v>
      </c>
      <c r="AP105" s="68"/>
      <c r="AQ105" s="68" t="b">
        <v>1</v>
      </c>
      <c r="AR105" s="68" t="b">
        <v>1</v>
      </c>
      <c r="AS105" s="68" t="b">
        <v>0</v>
      </c>
      <c r="AT105" s="68"/>
      <c r="AU105" s="68">
        <v>0</v>
      </c>
      <c r="AV105" s="68"/>
      <c r="AW105" s="68" t="b">
        <v>0</v>
      </c>
      <c r="AX105" s="68" t="s">
        <v>331</v>
      </c>
      <c r="AY105" s="72" t="str">
        <f>HYPERLINK("https://twitter.com/l_pugmire")</f>
        <v>https://twitter.com/l_pugmire</v>
      </c>
      <c r="AZ105" s="68" t="s">
        <v>66</v>
      </c>
      <c r="BA105" s="67" t="str">
        <f>REPLACE(INDEX(GroupVertices[Group],MATCH(Vertices[[#This Row],[Vertex]],GroupVertices[Vertex],0)),1,1,"")</f>
        <v>15</v>
      </c>
      <c r="BB105" s="49">
        <v>0</v>
      </c>
      <c r="BC105" s="50">
        <v>0</v>
      </c>
      <c r="BD105" s="49">
        <v>1</v>
      </c>
      <c r="BE105" s="50">
        <v>2.7777777777777777</v>
      </c>
      <c r="BF105" s="49">
        <v>0</v>
      </c>
      <c r="BG105" s="50">
        <v>0</v>
      </c>
      <c r="BH105" s="49">
        <v>35</v>
      </c>
      <c r="BI105" s="50">
        <v>97.22222222222223</v>
      </c>
      <c r="BJ105" s="49">
        <v>36</v>
      </c>
      <c r="BK105" s="49" t="s">
        <v>450</v>
      </c>
      <c r="BL105" s="49" t="s">
        <v>450</v>
      </c>
      <c r="BM105" s="49" t="s">
        <v>268</v>
      </c>
      <c r="BN105" s="49" t="s">
        <v>268</v>
      </c>
      <c r="BO105" s="49"/>
      <c r="BP105" s="49"/>
      <c r="BQ105" s="92" t="s">
        <v>528</v>
      </c>
      <c r="BR105" s="92" t="s">
        <v>528</v>
      </c>
      <c r="BS105" s="92" t="s">
        <v>500</v>
      </c>
      <c r="BT105" s="92" t="s">
        <v>500</v>
      </c>
    </row>
    <row r="106" spans="1:72" ht="15">
      <c r="A106" s="66" t="s">
        <v>628</v>
      </c>
      <c r="B106" s="84"/>
      <c r="C106" s="84"/>
      <c r="D106" s="94">
        <v>100</v>
      </c>
      <c r="E106" s="104"/>
      <c r="F106" s="81" t="str">
        <f>HYPERLINK("https://pbs.twimg.com/profile_images/1235481437630918658/iHZsj1Q2_normal.jpg")</f>
        <v>https://pbs.twimg.com/profile_images/1235481437630918658/iHZsj1Q2_normal.jpg</v>
      </c>
      <c r="G106" s="105"/>
      <c r="H106" s="82" t="s">
        <v>628</v>
      </c>
      <c r="I106" s="97"/>
      <c r="J106" s="106"/>
      <c r="K106" s="82" t="s">
        <v>1450</v>
      </c>
      <c r="L106" s="107">
        <v>1</v>
      </c>
      <c r="M106" s="101">
        <v>8014.7353515625</v>
      </c>
      <c r="N106" s="101">
        <v>594.1109619140625</v>
      </c>
      <c r="O106" s="102"/>
      <c r="P106" s="103"/>
      <c r="Q106" s="103"/>
      <c r="R106" s="108"/>
      <c r="S106" s="49">
        <v>0</v>
      </c>
      <c r="T106" s="49">
        <v>1</v>
      </c>
      <c r="U106" s="50">
        <v>0</v>
      </c>
      <c r="V106" s="50">
        <v>0.008547</v>
      </c>
      <c r="W106" s="50">
        <v>0</v>
      </c>
      <c r="X106" s="50">
        <v>0.008475</v>
      </c>
      <c r="Y106" s="50">
        <v>0</v>
      </c>
      <c r="Z106" s="50">
        <v>0</v>
      </c>
      <c r="AA106" s="98">
        <v>106</v>
      </c>
      <c r="AB106" s="98"/>
      <c r="AC106" s="99"/>
      <c r="AD106" s="68" t="s">
        <v>1063</v>
      </c>
      <c r="AE106" s="73" t="s">
        <v>1171</v>
      </c>
      <c r="AF106" s="68">
        <v>1325</v>
      </c>
      <c r="AG106" s="68">
        <v>1193</v>
      </c>
      <c r="AH106" s="68">
        <v>2198</v>
      </c>
      <c r="AI106" s="68">
        <v>11866</v>
      </c>
      <c r="AJ106" s="68"/>
      <c r="AK106" s="68" t="s">
        <v>1278</v>
      </c>
      <c r="AL106" s="68" t="s">
        <v>327</v>
      </c>
      <c r="AM106" s="68"/>
      <c r="AN106" s="68"/>
      <c r="AO106" s="70">
        <v>42242.09701388889</v>
      </c>
      <c r="AP106" s="72" t="str">
        <f>HYPERLINK("https://pbs.twimg.com/profile_banners/3343597518/1635477877")</f>
        <v>https://pbs.twimg.com/profile_banners/3343597518/1635477877</v>
      </c>
      <c r="AQ106" s="68" t="b">
        <v>0</v>
      </c>
      <c r="AR106" s="68" t="b">
        <v>0</v>
      </c>
      <c r="AS106" s="68" t="b">
        <v>1</v>
      </c>
      <c r="AT106" s="68"/>
      <c r="AU106" s="68">
        <v>20</v>
      </c>
      <c r="AV106" s="72" t="str">
        <f>HYPERLINK("https://abs.twimg.com/images/themes/theme1/bg.png")</f>
        <v>https://abs.twimg.com/images/themes/theme1/bg.png</v>
      </c>
      <c r="AW106" s="68" t="b">
        <v>0</v>
      </c>
      <c r="AX106" s="68" t="s">
        <v>331</v>
      </c>
      <c r="AY106" s="72" t="str">
        <f>HYPERLINK("https://twitter.com/mark_tilly1")</f>
        <v>https://twitter.com/mark_tilly1</v>
      </c>
      <c r="AZ106" s="68" t="s">
        <v>66</v>
      </c>
      <c r="BA106" s="67" t="str">
        <f>REPLACE(INDEX(GroupVertices[Group],MATCH(Vertices[[#This Row],[Vertex]],GroupVertices[Vertex],0)),1,1,"")</f>
        <v>14</v>
      </c>
      <c r="BB106" s="49">
        <v>0</v>
      </c>
      <c r="BC106" s="50">
        <v>0</v>
      </c>
      <c r="BD106" s="49">
        <v>1</v>
      </c>
      <c r="BE106" s="50">
        <v>3.225806451612903</v>
      </c>
      <c r="BF106" s="49">
        <v>0</v>
      </c>
      <c r="BG106" s="50">
        <v>0</v>
      </c>
      <c r="BH106" s="49">
        <v>30</v>
      </c>
      <c r="BI106" s="50">
        <v>96.7741935483871</v>
      </c>
      <c r="BJ106" s="49">
        <v>31</v>
      </c>
      <c r="BK106" s="49" t="s">
        <v>1741</v>
      </c>
      <c r="BL106" s="49" t="s">
        <v>1741</v>
      </c>
      <c r="BM106" s="49" t="s">
        <v>706</v>
      </c>
      <c r="BN106" s="49" t="s">
        <v>706</v>
      </c>
      <c r="BO106" s="49" t="s">
        <v>720</v>
      </c>
      <c r="BP106" s="49" t="s">
        <v>720</v>
      </c>
      <c r="BQ106" s="92" t="s">
        <v>1952</v>
      </c>
      <c r="BR106" s="92" t="s">
        <v>1952</v>
      </c>
      <c r="BS106" s="92" t="s">
        <v>1990</v>
      </c>
      <c r="BT106" s="92" t="s">
        <v>1990</v>
      </c>
    </row>
    <row r="107" spans="1:72" ht="15">
      <c r="A107" s="66" t="s">
        <v>651</v>
      </c>
      <c r="B107" s="84"/>
      <c r="C107" s="84"/>
      <c r="D107" s="94">
        <v>100</v>
      </c>
      <c r="E107" s="104"/>
      <c r="F107" s="81" t="str">
        <f>HYPERLINK("https://pbs.twimg.com/profile_images/570895044417048576/ojLelsM-_normal.jpeg")</f>
        <v>https://pbs.twimg.com/profile_images/570895044417048576/ojLelsM-_normal.jpeg</v>
      </c>
      <c r="G107" s="105"/>
      <c r="H107" s="82" t="s">
        <v>651</v>
      </c>
      <c r="I107" s="97"/>
      <c r="J107" s="106"/>
      <c r="K107" s="82" t="s">
        <v>1451</v>
      </c>
      <c r="L107" s="107">
        <v>1</v>
      </c>
      <c r="M107" s="101">
        <v>8014.7353515625</v>
      </c>
      <c r="N107" s="101">
        <v>1333.947265625</v>
      </c>
      <c r="O107" s="102"/>
      <c r="P107" s="103"/>
      <c r="Q107" s="103"/>
      <c r="R107" s="108"/>
      <c r="S107" s="49">
        <v>1</v>
      </c>
      <c r="T107" s="49">
        <v>0</v>
      </c>
      <c r="U107" s="50">
        <v>0</v>
      </c>
      <c r="V107" s="50">
        <v>0.008547</v>
      </c>
      <c r="W107" s="50">
        <v>0</v>
      </c>
      <c r="X107" s="50">
        <v>0.008475</v>
      </c>
      <c r="Y107" s="50">
        <v>0</v>
      </c>
      <c r="Z107" s="50">
        <v>0</v>
      </c>
      <c r="AA107" s="98">
        <v>107</v>
      </c>
      <c r="AB107" s="98"/>
      <c r="AC107" s="99"/>
      <c r="AD107" s="68" t="s">
        <v>1064</v>
      </c>
      <c r="AE107" s="73" t="s">
        <v>1172</v>
      </c>
      <c r="AF107" s="68">
        <v>1702</v>
      </c>
      <c r="AG107" s="68">
        <v>9458</v>
      </c>
      <c r="AH107" s="68">
        <v>6832</v>
      </c>
      <c r="AI107" s="68">
        <v>299</v>
      </c>
      <c r="AJ107" s="68"/>
      <c r="AK107" s="68" t="s">
        <v>1279</v>
      </c>
      <c r="AL107" s="68" t="s">
        <v>1345</v>
      </c>
      <c r="AM107" s="72" t="str">
        <f>HYPERLINK("https://t.co/dYGDOBEu6P")</f>
        <v>https://t.co/dYGDOBEu6P</v>
      </c>
      <c r="AN107" s="68"/>
      <c r="AO107" s="70">
        <v>41829.402094907404</v>
      </c>
      <c r="AP107" s="72" t="str">
        <f>HYPERLINK("https://pbs.twimg.com/profile_banners/2613246072/1424947144")</f>
        <v>https://pbs.twimg.com/profile_banners/2613246072/1424947144</v>
      </c>
      <c r="AQ107" s="68" t="b">
        <v>0</v>
      </c>
      <c r="AR107" s="68" t="b">
        <v>0</v>
      </c>
      <c r="AS107" s="68" t="b">
        <v>0</v>
      </c>
      <c r="AT107" s="68"/>
      <c r="AU107" s="68">
        <v>307</v>
      </c>
      <c r="AV107" s="72" t="str">
        <f>HYPERLINK("https://abs.twimg.com/images/themes/theme1/bg.png")</f>
        <v>https://abs.twimg.com/images/themes/theme1/bg.png</v>
      </c>
      <c r="AW107" s="68" t="b">
        <v>0</v>
      </c>
      <c r="AX107" s="68" t="s">
        <v>331</v>
      </c>
      <c r="AY107" s="72" t="str">
        <f>HYPERLINK("https://twitter.com/carbonpulse")</f>
        <v>https://twitter.com/carbonpulse</v>
      </c>
      <c r="AZ107" s="68" t="s">
        <v>65</v>
      </c>
      <c r="BA107" s="67" t="str">
        <f>REPLACE(INDEX(GroupVertices[Group],MATCH(Vertices[[#This Row],[Vertex]],GroupVertices[Vertex],0)),1,1,"")</f>
        <v>14</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6" t="s">
        <v>630</v>
      </c>
      <c r="B108" s="84"/>
      <c r="C108" s="84"/>
      <c r="D108" s="94">
        <v>100</v>
      </c>
      <c r="E108" s="104"/>
      <c r="F108" s="81" t="str">
        <f>HYPERLINK("https://pbs.twimg.com/profile_images/754486118704291840/wlhfZrzq_normal.jpg")</f>
        <v>https://pbs.twimg.com/profile_images/754486118704291840/wlhfZrzq_normal.jpg</v>
      </c>
      <c r="G108" s="105"/>
      <c r="H108" s="82" t="s">
        <v>630</v>
      </c>
      <c r="I108" s="97"/>
      <c r="J108" s="106"/>
      <c r="K108" s="82" t="s">
        <v>1452</v>
      </c>
      <c r="L108" s="107">
        <v>1</v>
      </c>
      <c r="M108" s="101">
        <v>2940.727783203125</v>
      </c>
      <c r="N108" s="101">
        <v>9390.228515625</v>
      </c>
      <c r="O108" s="102"/>
      <c r="P108" s="103"/>
      <c r="Q108" s="103"/>
      <c r="R108" s="108"/>
      <c r="S108" s="49">
        <v>0</v>
      </c>
      <c r="T108" s="49">
        <v>1</v>
      </c>
      <c r="U108" s="50">
        <v>0</v>
      </c>
      <c r="V108" s="50">
        <v>0.100475</v>
      </c>
      <c r="W108" s="50">
        <v>0.138558</v>
      </c>
      <c r="X108" s="50">
        <v>0.007406</v>
      </c>
      <c r="Y108" s="50">
        <v>0</v>
      </c>
      <c r="Z108" s="50">
        <v>0</v>
      </c>
      <c r="AA108" s="98">
        <v>108</v>
      </c>
      <c r="AB108" s="98"/>
      <c r="AC108" s="99"/>
      <c r="AD108" s="68" t="s">
        <v>1065</v>
      </c>
      <c r="AE108" s="73" t="s">
        <v>1173</v>
      </c>
      <c r="AF108" s="68">
        <v>985</v>
      </c>
      <c r="AG108" s="68">
        <v>2720</v>
      </c>
      <c r="AH108" s="68">
        <v>41805</v>
      </c>
      <c r="AI108" s="68">
        <v>94418</v>
      </c>
      <c r="AJ108" s="68"/>
      <c r="AK108" s="68" t="s">
        <v>1280</v>
      </c>
      <c r="AL108" s="68" t="s">
        <v>1346</v>
      </c>
      <c r="AM108" s="68"/>
      <c r="AN108" s="68"/>
      <c r="AO108" s="70">
        <v>41556.12252314815</v>
      </c>
      <c r="AP108" s="68"/>
      <c r="AQ108" s="68" t="b">
        <v>1</v>
      </c>
      <c r="AR108" s="68" t="b">
        <v>0</v>
      </c>
      <c r="AS108" s="68" t="b">
        <v>1</v>
      </c>
      <c r="AT108" s="68"/>
      <c r="AU108" s="68">
        <v>35</v>
      </c>
      <c r="AV108" s="72" t="str">
        <f>HYPERLINK("https://abs.twimg.com/images/themes/theme1/bg.png")</f>
        <v>https://abs.twimg.com/images/themes/theme1/bg.png</v>
      </c>
      <c r="AW108" s="68" t="b">
        <v>0</v>
      </c>
      <c r="AX108" s="68" t="s">
        <v>331</v>
      </c>
      <c r="AY108" s="72" t="str">
        <f>HYPERLINK("https://twitter.com/gaymaxine")</f>
        <v>https://twitter.com/gaymaxine</v>
      </c>
      <c r="AZ108" s="68" t="s">
        <v>66</v>
      </c>
      <c r="BA108" s="67" t="str">
        <f>REPLACE(INDEX(GroupVertices[Group],MATCH(Vertices[[#This Row],[Vertex]],GroupVertices[Vertex],0)),1,1,"")</f>
        <v>1</v>
      </c>
      <c r="BB108" s="49">
        <v>2</v>
      </c>
      <c r="BC108" s="50">
        <v>4</v>
      </c>
      <c r="BD108" s="49">
        <v>0</v>
      </c>
      <c r="BE108" s="50">
        <v>0</v>
      </c>
      <c r="BF108" s="49">
        <v>0</v>
      </c>
      <c r="BG108" s="50">
        <v>0</v>
      </c>
      <c r="BH108" s="49">
        <v>48</v>
      </c>
      <c r="BI108" s="50">
        <v>96</v>
      </c>
      <c r="BJ108" s="49">
        <v>50</v>
      </c>
      <c r="BK108" s="49"/>
      <c r="BL108" s="49"/>
      <c r="BM108" s="49"/>
      <c r="BN108" s="49"/>
      <c r="BO108" s="49"/>
      <c r="BP108" s="49"/>
      <c r="BQ108" s="92" t="s">
        <v>1933</v>
      </c>
      <c r="BR108" s="92" t="s">
        <v>1933</v>
      </c>
      <c r="BS108" s="92" t="s">
        <v>1975</v>
      </c>
      <c r="BT108" s="92" t="s">
        <v>1975</v>
      </c>
    </row>
    <row r="109" spans="1:72" ht="15">
      <c r="A109" s="66" t="s">
        <v>257</v>
      </c>
      <c r="B109" s="84"/>
      <c r="C109" s="84"/>
      <c r="D109" s="94">
        <v>100</v>
      </c>
      <c r="E109" s="104"/>
      <c r="F109" s="81" t="str">
        <f>HYPERLINK("https://pbs.twimg.com/profile_images/1229581468113854464/YdbOAsfr_normal.jpg")</f>
        <v>https://pbs.twimg.com/profile_images/1229581468113854464/YdbOAsfr_normal.jpg</v>
      </c>
      <c r="G109" s="105"/>
      <c r="H109" s="82" t="s">
        <v>257</v>
      </c>
      <c r="I109" s="97"/>
      <c r="J109" s="106"/>
      <c r="K109" s="82" t="s">
        <v>333</v>
      </c>
      <c r="L109" s="107">
        <v>1</v>
      </c>
      <c r="M109" s="101">
        <v>1200.4449462890625</v>
      </c>
      <c r="N109" s="101">
        <v>3912.164794921875</v>
      </c>
      <c r="O109" s="102"/>
      <c r="P109" s="103"/>
      <c r="Q109" s="103"/>
      <c r="R109" s="108"/>
      <c r="S109" s="49">
        <v>1</v>
      </c>
      <c r="T109" s="49">
        <v>1</v>
      </c>
      <c r="U109" s="50">
        <v>0</v>
      </c>
      <c r="V109" s="50">
        <v>0</v>
      </c>
      <c r="W109" s="50">
        <v>0</v>
      </c>
      <c r="X109" s="50">
        <v>0.008475</v>
      </c>
      <c r="Y109" s="50">
        <v>0</v>
      </c>
      <c r="Z109" s="50">
        <v>0</v>
      </c>
      <c r="AA109" s="98">
        <v>109</v>
      </c>
      <c r="AB109" s="98"/>
      <c r="AC109" s="99"/>
      <c r="AD109" s="68" t="s">
        <v>311</v>
      </c>
      <c r="AE109" s="73" t="s">
        <v>317</v>
      </c>
      <c r="AF109" s="68">
        <v>516</v>
      </c>
      <c r="AG109" s="68">
        <v>1445</v>
      </c>
      <c r="AH109" s="68">
        <v>12856</v>
      </c>
      <c r="AI109" s="68">
        <v>555</v>
      </c>
      <c r="AJ109" s="68"/>
      <c r="AK109" s="68" t="s">
        <v>322</v>
      </c>
      <c r="AL109" s="68" t="s">
        <v>326</v>
      </c>
      <c r="AM109" s="72" t="str">
        <f>HYPERLINK("https://t.co/0nR2EIUlhr")</f>
        <v>https://t.co/0nR2EIUlhr</v>
      </c>
      <c r="AN109" s="68"/>
      <c r="AO109" s="70">
        <v>43146.232256944444</v>
      </c>
      <c r="AP109" s="72" t="str">
        <f>HYPERLINK("https://pbs.twimg.com/profile_banners/964009992033419264/1581989999")</f>
        <v>https://pbs.twimg.com/profile_banners/964009992033419264/1581989999</v>
      </c>
      <c r="AQ109" s="68" t="b">
        <v>1</v>
      </c>
      <c r="AR109" s="68" t="b">
        <v>0</v>
      </c>
      <c r="AS109" s="68" t="b">
        <v>0</v>
      </c>
      <c r="AT109" s="68"/>
      <c r="AU109" s="68">
        <v>41</v>
      </c>
      <c r="AV109" s="68"/>
      <c r="AW109" s="68" t="b">
        <v>0</v>
      </c>
      <c r="AX109" s="68" t="s">
        <v>331</v>
      </c>
      <c r="AY109" s="72" t="str">
        <f>HYPERLINK("https://twitter.com/businessdesk_nz")</f>
        <v>https://twitter.com/businessdesk_nz</v>
      </c>
      <c r="AZ109" s="68" t="s">
        <v>66</v>
      </c>
      <c r="BA109" s="67" t="str">
        <f>REPLACE(INDEX(GroupVertices[Group],MATCH(Vertices[[#This Row],[Vertex]],GroupVertices[Vertex],0)),1,1,"")</f>
        <v>2</v>
      </c>
      <c r="BB109" s="49">
        <v>3</v>
      </c>
      <c r="BC109" s="50">
        <v>7.142857142857143</v>
      </c>
      <c r="BD109" s="49">
        <v>0</v>
      </c>
      <c r="BE109" s="50">
        <v>0</v>
      </c>
      <c r="BF109" s="49">
        <v>0</v>
      </c>
      <c r="BG109" s="50">
        <v>0</v>
      </c>
      <c r="BH109" s="49">
        <v>39</v>
      </c>
      <c r="BI109" s="50">
        <v>92.85714285714286</v>
      </c>
      <c r="BJ109" s="49">
        <v>42</v>
      </c>
      <c r="BK109" s="49" t="s">
        <v>451</v>
      </c>
      <c r="BL109" s="49" t="s">
        <v>451</v>
      </c>
      <c r="BM109" s="49" t="s">
        <v>269</v>
      </c>
      <c r="BN109" s="49" t="s">
        <v>269</v>
      </c>
      <c r="BO109" s="49"/>
      <c r="BP109" s="49"/>
      <c r="BQ109" s="92" t="s">
        <v>529</v>
      </c>
      <c r="BR109" s="92" t="s">
        <v>529</v>
      </c>
      <c r="BS109" s="92" t="s">
        <v>533</v>
      </c>
      <c r="BT109" s="92" t="s">
        <v>533</v>
      </c>
    </row>
    <row r="110" spans="1:72" ht="15">
      <c r="A110" s="66" t="s">
        <v>631</v>
      </c>
      <c r="B110" s="84"/>
      <c r="C110" s="84"/>
      <c r="D110" s="94">
        <v>190</v>
      </c>
      <c r="E110" s="104"/>
      <c r="F110" s="81" t="str">
        <f>HYPERLINK("https://pbs.twimg.com/profile_images/1520415532486430722/5jPSCaHo_normal.jpg")</f>
        <v>https://pbs.twimg.com/profile_images/1520415532486430722/5jPSCaHo_normal.jpg</v>
      </c>
      <c r="G110" s="105"/>
      <c r="H110" s="82" t="s">
        <v>631</v>
      </c>
      <c r="I110" s="97"/>
      <c r="J110" s="106"/>
      <c r="K110" s="82" t="s">
        <v>1453</v>
      </c>
      <c r="L110" s="107">
        <v>40.51778656126482</v>
      </c>
      <c r="M110" s="101">
        <v>9105.7275390625</v>
      </c>
      <c r="N110" s="101">
        <v>5481.5146484375</v>
      </c>
      <c r="O110" s="102"/>
      <c r="P110" s="103"/>
      <c r="Q110" s="103"/>
      <c r="R110" s="108"/>
      <c r="S110" s="49">
        <v>0</v>
      </c>
      <c r="T110" s="49">
        <v>2</v>
      </c>
      <c r="U110" s="50">
        <v>2</v>
      </c>
      <c r="V110" s="50">
        <v>0.017094</v>
      </c>
      <c r="W110" s="50">
        <v>0</v>
      </c>
      <c r="X110" s="50">
        <v>0.00958</v>
      </c>
      <c r="Y110" s="50">
        <v>0</v>
      </c>
      <c r="Z110" s="50">
        <v>0</v>
      </c>
      <c r="AA110" s="98">
        <v>110</v>
      </c>
      <c r="AB110" s="98"/>
      <c r="AC110" s="99"/>
      <c r="AD110" s="68" t="s">
        <v>1066</v>
      </c>
      <c r="AE110" s="73" t="s">
        <v>1174</v>
      </c>
      <c r="AF110" s="68">
        <v>116</v>
      </c>
      <c r="AG110" s="68">
        <v>68</v>
      </c>
      <c r="AH110" s="68">
        <v>60</v>
      </c>
      <c r="AI110" s="68">
        <v>1363</v>
      </c>
      <c r="AJ110" s="68"/>
      <c r="AK110" s="68"/>
      <c r="AL110" s="68"/>
      <c r="AM110" s="68"/>
      <c r="AN110" s="68"/>
      <c r="AO110" s="70">
        <v>44677.508125</v>
      </c>
      <c r="AP110" s="68"/>
      <c r="AQ110" s="68" t="b">
        <v>1</v>
      </c>
      <c r="AR110" s="68" t="b">
        <v>0</v>
      </c>
      <c r="AS110" s="68" t="b">
        <v>0</v>
      </c>
      <c r="AT110" s="68"/>
      <c r="AU110" s="68">
        <v>0</v>
      </c>
      <c r="AV110" s="68"/>
      <c r="AW110" s="68" t="b">
        <v>0</v>
      </c>
      <c r="AX110" s="68" t="s">
        <v>331</v>
      </c>
      <c r="AY110" s="72" t="str">
        <f>HYPERLINK("https://twitter.com/genevivelabont1")</f>
        <v>https://twitter.com/genevivelabont1</v>
      </c>
      <c r="AZ110" s="68" t="s">
        <v>66</v>
      </c>
      <c r="BA110" s="67" t="str">
        <f>REPLACE(INDEX(GroupVertices[Group],MATCH(Vertices[[#This Row],[Vertex]],GroupVertices[Vertex],0)),1,1,"")</f>
        <v>10</v>
      </c>
      <c r="BB110" s="49">
        <v>0</v>
      </c>
      <c r="BC110" s="50">
        <v>0</v>
      </c>
      <c r="BD110" s="49">
        <v>0</v>
      </c>
      <c r="BE110" s="50">
        <v>0</v>
      </c>
      <c r="BF110" s="49">
        <v>0</v>
      </c>
      <c r="BG110" s="50">
        <v>0</v>
      </c>
      <c r="BH110" s="49">
        <v>35</v>
      </c>
      <c r="BI110" s="50">
        <v>100</v>
      </c>
      <c r="BJ110" s="49">
        <v>35</v>
      </c>
      <c r="BK110" s="49"/>
      <c r="BL110" s="49"/>
      <c r="BM110" s="49"/>
      <c r="BN110" s="49"/>
      <c r="BO110" s="49"/>
      <c r="BP110" s="49"/>
      <c r="BQ110" s="92" t="s">
        <v>1953</v>
      </c>
      <c r="BR110" s="92" t="s">
        <v>1953</v>
      </c>
      <c r="BS110" s="92" t="s">
        <v>1991</v>
      </c>
      <c r="BT110" s="92" t="s">
        <v>1991</v>
      </c>
    </row>
    <row r="111" spans="1:72" ht="15">
      <c r="A111" s="66" t="s">
        <v>652</v>
      </c>
      <c r="B111" s="84"/>
      <c r="C111" s="84"/>
      <c r="D111" s="94">
        <v>100</v>
      </c>
      <c r="E111" s="104"/>
      <c r="F111" s="81" t="str">
        <f>HYPERLINK("https://pbs.twimg.com/profile_images/1326569792816484356/oGULfkC2_normal.png")</f>
        <v>https://pbs.twimg.com/profile_images/1326569792816484356/oGULfkC2_normal.png</v>
      </c>
      <c r="G111" s="105"/>
      <c r="H111" s="82" t="s">
        <v>652</v>
      </c>
      <c r="I111" s="97"/>
      <c r="J111" s="106"/>
      <c r="K111" s="82" t="s">
        <v>1454</v>
      </c>
      <c r="L111" s="107">
        <v>1</v>
      </c>
      <c r="M111" s="101">
        <v>9105.7275390625</v>
      </c>
      <c r="N111" s="101">
        <v>6445.5439453125</v>
      </c>
      <c r="O111" s="102"/>
      <c r="P111" s="103"/>
      <c r="Q111" s="103"/>
      <c r="R111" s="108"/>
      <c r="S111" s="49">
        <v>1</v>
      </c>
      <c r="T111" s="49">
        <v>0</v>
      </c>
      <c r="U111" s="50">
        <v>0</v>
      </c>
      <c r="V111" s="50">
        <v>0.011396</v>
      </c>
      <c r="W111" s="50">
        <v>0</v>
      </c>
      <c r="X111" s="50">
        <v>0.007922</v>
      </c>
      <c r="Y111" s="50">
        <v>0</v>
      </c>
      <c r="Z111" s="50">
        <v>0</v>
      </c>
      <c r="AA111" s="98">
        <v>111</v>
      </c>
      <c r="AB111" s="98"/>
      <c r="AC111" s="99"/>
      <c r="AD111" s="68" t="s">
        <v>1067</v>
      </c>
      <c r="AE111" s="73" t="s">
        <v>1175</v>
      </c>
      <c r="AF111" s="68">
        <v>799</v>
      </c>
      <c r="AG111" s="68">
        <v>476190</v>
      </c>
      <c r="AH111" s="68">
        <v>373320</v>
      </c>
      <c r="AI111" s="68">
        <v>179</v>
      </c>
      <c r="AJ111" s="68"/>
      <c r="AK111" s="68" t="s">
        <v>1281</v>
      </c>
      <c r="AL111" s="68" t="s">
        <v>1347</v>
      </c>
      <c r="AM111" s="72" t="str">
        <f>HYPERLINK("https://t.co/DjZ7k6bnOG")</f>
        <v>https://t.co/DjZ7k6bnOG</v>
      </c>
      <c r="AN111" s="68"/>
      <c r="AO111" s="70">
        <v>40112.62467592592</v>
      </c>
      <c r="AP111" s="72" t="str">
        <f>HYPERLINK("https://pbs.twimg.com/profile_banners/85334007/1634841706")</f>
        <v>https://pbs.twimg.com/profile_banners/85334007/1634841706</v>
      </c>
      <c r="AQ111" s="68" t="b">
        <v>0</v>
      </c>
      <c r="AR111" s="68" t="b">
        <v>0</v>
      </c>
      <c r="AS111" s="68" t="b">
        <v>1</v>
      </c>
      <c r="AT111" s="68"/>
      <c r="AU111" s="68">
        <v>2508</v>
      </c>
      <c r="AV111" s="72" t="str">
        <f>HYPERLINK("https://abs.twimg.com/images/themes/theme1/bg.png")</f>
        <v>https://abs.twimg.com/images/themes/theme1/bg.png</v>
      </c>
      <c r="AW111" s="68" t="b">
        <v>1</v>
      </c>
      <c r="AX111" s="68" t="s">
        <v>331</v>
      </c>
      <c r="AY111" s="72" t="str">
        <f>HYPERLINK("https://twitter.com/tvanouvelles")</f>
        <v>https://twitter.com/tvanouvelles</v>
      </c>
      <c r="AZ111" s="68" t="s">
        <v>65</v>
      </c>
      <c r="BA111" s="67" t="str">
        <f>REPLACE(INDEX(GroupVertices[Group],MATCH(Vertices[[#This Row],[Vertex]],GroupVertices[Vertex],0)),1,1,"")</f>
        <v>10</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6" t="s">
        <v>653</v>
      </c>
      <c r="B112" s="84"/>
      <c r="C112" s="84"/>
      <c r="D112" s="94">
        <v>100</v>
      </c>
      <c r="E112" s="104"/>
      <c r="F112" s="81" t="str">
        <f>HYPERLINK("https://abs.twimg.com/sticky/default_profile_images/default_profile_normal.png")</f>
        <v>https://abs.twimg.com/sticky/default_profile_images/default_profile_normal.png</v>
      </c>
      <c r="G112" s="105"/>
      <c r="H112" s="82" t="s">
        <v>653</v>
      </c>
      <c r="I112" s="97"/>
      <c r="J112" s="106"/>
      <c r="K112" s="82" t="s">
        <v>1455</v>
      </c>
      <c r="L112" s="107">
        <v>1</v>
      </c>
      <c r="M112" s="101">
        <v>9607.0908203125</v>
      </c>
      <c r="N112" s="101">
        <v>6445.5439453125</v>
      </c>
      <c r="O112" s="102"/>
      <c r="P112" s="103"/>
      <c r="Q112" s="103"/>
      <c r="R112" s="108"/>
      <c r="S112" s="49">
        <v>1</v>
      </c>
      <c r="T112" s="49">
        <v>0</v>
      </c>
      <c r="U112" s="50">
        <v>0</v>
      </c>
      <c r="V112" s="50">
        <v>0.011396</v>
      </c>
      <c r="W112" s="50">
        <v>0</v>
      </c>
      <c r="X112" s="50">
        <v>0.007922</v>
      </c>
      <c r="Y112" s="50">
        <v>0</v>
      </c>
      <c r="Z112" s="50">
        <v>0</v>
      </c>
      <c r="AA112" s="98">
        <v>112</v>
      </c>
      <c r="AB112" s="98"/>
      <c r="AC112" s="99"/>
      <c r="AD112" s="68" t="s">
        <v>1068</v>
      </c>
      <c r="AE112" s="73" t="s">
        <v>939</v>
      </c>
      <c r="AF112" s="68">
        <v>233</v>
      </c>
      <c r="AG112" s="68">
        <v>56</v>
      </c>
      <c r="AH112" s="68">
        <v>1155</v>
      </c>
      <c r="AI112" s="68">
        <v>166</v>
      </c>
      <c r="AJ112" s="68"/>
      <c r="AK112" s="68" t="s">
        <v>1282</v>
      </c>
      <c r="AL112" s="68" t="s">
        <v>1348</v>
      </c>
      <c r="AM112" s="68"/>
      <c r="AN112" s="68"/>
      <c r="AO112" s="70">
        <v>44615.049780092595</v>
      </c>
      <c r="AP112" s="68"/>
      <c r="AQ112" s="68" t="b">
        <v>1</v>
      </c>
      <c r="AR112" s="68" t="b">
        <v>1</v>
      </c>
      <c r="AS112" s="68" t="b">
        <v>0</v>
      </c>
      <c r="AT112" s="68"/>
      <c r="AU112" s="68">
        <v>1</v>
      </c>
      <c r="AV112" s="68"/>
      <c r="AW112" s="68" t="b">
        <v>0</v>
      </c>
      <c r="AX112" s="68" t="s">
        <v>331</v>
      </c>
      <c r="AY112" s="72" t="str">
        <f>HYPERLINK("https://twitter.com/rebelwild41")</f>
        <v>https://twitter.com/rebelwild41</v>
      </c>
      <c r="AZ112" s="68" t="s">
        <v>65</v>
      </c>
      <c r="BA112" s="67"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6" t="s">
        <v>632</v>
      </c>
      <c r="B113" s="84"/>
      <c r="C113" s="84"/>
      <c r="D113" s="94">
        <v>100</v>
      </c>
      <c r="E113" s="104"/>
      <c r="F113" s="81" t="str">
        <f>HYPERLINK("https://pbs.twimg.com/profile_images/1491428224798117891/9rG7sAag_normal.jpg")</f>
        <v>https://pbs.twimg.com/profile_images/1491428224798117891/9rG7sAag_normal.jpg</v>
      </c>
      <c r="G113" s="105"/>
      <c r="H113" s="82" t="s">
        <v>632</v>
      </c>
      <c r="I113" s="97"/>
      <c r="J113" s="106"/>
      <c r="K113" s="82" t="s">
        <v>1456</v>
      </c>
      <c r="L113" s="107">
        <v>1</v>
      </c>
      <c r="M113" s="101">
        <v>2612.733154296875</v>
      </c>
      <c r="N113" s="101">
        <v>2858.45849609375</v>
      </c>
      <c r="O113" s="102"/>
      <c r="P113" s="103"/>
      <c r="Q113" s="103"/>
      <c r="R113" s="108"/>
      <c r="S113" s="49">
        <v>1</v>
      </c>
      <c r="T113" s="49">
        <v>1</v>
      </c>
      <c r="U113" s="50">
        <v>0</v>
      </c>
      <c r="V113" s="50">
        <v>0</v>
      </c>
      <c r="W113" s="50">
        <v>0</v>
      </c>
      <c r="X113" s="50">
        <v>0.008475</v>
      </c>
      <c r="Y113" s="50">
        <v>0</v>
      </c>
      <c r="Z113" s="50">
        <v>0</v>
      </c>
      <c r="AA113" s="98">
        <v>113</v>
      </c>
      <c r="AB113" s="98"/>
      <c r="AC113" s="99"/>
      <c r="AD113" s="68" t="s">
        <v>1069</v>
      </c>
      <c r="AE113" s="73" t="s">
        <v>940</v>
      </c>
      <c r="AF113" s="68">
        <v>2004</v>
      </c>
      <c r="AG113" s="68">
        <v>2452</v>
      </c>
      <c r="AH113" s="68">
        <v>2191</v>
      </c>
      <c r="AI113" s="68">
        <v>6879</v>
      </c>
      <c r="AJ113" s="68"/>
      <c r="AK113" s="68" t="s">
        <v>1283</v>
      </c>
      <c r="AL113" s="68"/>
      <c r="AM113" s="68"/>
      <c r="AN113" s="68"/>
      <c r="AO113" s="70">
        <v>40427.647627314815</v>
      </c>
      <c r="AP113" s="72" t="str">
        <f>HYPERLINK("https://pbs.twimg.com/profile_banners/187560504/1498456206")</f>
        <v>https://pbs.twimg.com/profile_banners/187560504/1498456206</v>
      </c>
      <c r="AQ113" s="68" t="b">
        <v>0</v>
      </c>
      <c r="AR113" s="68" t="b">
        <v>0</v>
      </c>
      <c r="AS113" s="68" t="b">
        <v>0</v>
      </c>
      <c r="AT113" s="68"/>
      <c r="AU113" s="68">
        <v>100</v>
      </c>
      <c r="AV113" s="72" t="str">
        <f>HYPERLINK("https://abs.twimg.com/images/themes/theme1/bg.png")</f>
        <v>https://abs.twimg.com/images/themes/theme1/bg.png</v>
      </c>
      <c r="AW113" s="68" t="b">
        <v>0</v>
      </c>
      <c r="AX113" s="68" t="s">
        <v>331</v>
      </c>
      <c r="AY113" s="72" t="str">
        <f>HYPERLINK("https://twitter.com/emilypont")</f>
        <v>https://twitter.com/emilypont</v>
      </c>
      <c r="AZ113" s="68" t="s">
        <v>66</v>
      </c>
      <c r="BA113" s="67" t="str">
        <f>REPLACE(INDEX(GroupVertices[Group],MATCH(Vertices[[#This Row],[Vertex]],GroupVertices[Vertex],0)),1,1,"")</f>
        <v>2</v>
      </c>
      <c r="BB113" s="49">
        <v>0</v>
      </c>
      <c r="BC113" s="50">
        <v>0</v>
      </c>
      <c r="BD113" s="49">
        <v>0</v>
      </c>
      <c r="BE113" s="50">
        <v>0</v>
      </c>
      <c r="BF113" s="49">
        <v>0</v>
      </c>
      <c r="BG113" s="50">
        <v>0</v>
      </c>
      <c r="BH113" s="49">
        <v>35</v>
      </c>
      <c r="BI113" s="50">
        <v>100</v>
      </c>
      <c r="BJ113" s="49">
        <v>35</v>
      </c>
      <c r="BK113" s="49"/>
      <c r="BL113" s="49"/>
      <c r="BM113" s="49"/>
      <c r="BN113" s="49"/>
      <c r="BO113" s="49"/>
      <c r="BP113" s="49"/>
      <c r="BQ113" s="92" t="s">
        <v>1954</v>
      </c>
      <c r="BR113" s="92" t="s">
        <v>1954</v>
      </c>
      <c r="BS113" s="92" t="s">
        <v>1992</v>
      </c>
      <c r="BT113" s="92" t="s">
        <v>1992</v>
      </c>
    </row>
    <row r="114" spans="1:72" ht="15">
      <c r="A114" s="66" t="s">
        <v>258</v>
      </c>
      <c r="B114" s="84"/>
      <c r="C114" s="84"/>
      <c r="D114" s="94">
        <v>100</v>
      </c>
      <c r="E114" s="104"/>
      <c r="F114" s="81" t="str">
        <f>HYPERLINK("https://pbs.twimg.com/profile_images/1288654635125760000/Sd4jIIxW_normal.jpg")</f>
        <v>https://pbs.twimg.com/profile_images/1288654635125760000/Sd4jIIxW_normal.jpg</v>
      </c>
      <c r="G114" s="105"/>
      <c r="H114" s="82" t="s">
        <v>258</v>
      </c>
      <c r="I114" s="97"/>
      <c r="J114" s="106"/>
      <c r="K114" s="82" t="s">
        <v>334</v>
      </c>
      <c r="L114" s="107">
        <v>1</v>
      </c>
      <c r="M114" s="101">
        <v>8466.6669921875</v>
      </c>
      <c r="N114" s="101">
        <v>6445.5439453125</v>
      </c>
      <c r="O114" s="102"/>
      <c r="P114" s="103"/>
      <c r="Q114" s="103"/>
      <c r="R114" s="108"/>
      <c r="S114" s="49">
        <v>1</v>
      </c>
      <c r="T114" s="49">
        <v>1</v>
      </c>
      <c r="U114" s="50">
        <v>0</v>
      </c>
      <c r="V114" s="50">
        <v>0.017094</v>
      </c>
      <c r="W114" s="50">
        <v>0</v>
      </c>
      <c r="X114" s="50">
        <v>0.008475</v>
      </c>
      <c r="Y114" s="50">
        <v>0.5</v>
      </c>
      <c r="Z114" s="50">
        <v>0</v>
      </c>
      <c r="AA114" s="98">
        <v>114</v>
      </c>
      <c r="AB114" s="98"/>
      <c r="AC114" s="99"/>
      <c r="AD114" s="68" t="s">
        <v>312</v>
      </c>
      <c r="AE114" s="73" t="s">
        <v>318</v>
      </c>
      <c r="AF114" s="68">
        <v>180</v>
      </c>
      <c r="AG114" s="68">
        <v>2640</v>
      </c>
      <c r="AH114" s="68">
        <v>13703</v>
      </c>
      <c r="AI114" s="68">
        <v>2944</v>
      </c>
      <c r="AJ114" s="68"/>
      <c r="AK114" s="68" t="s">
        <v>323</v>
      </c>
      <c r="AL114" s="68" t="s">
        <v>327</v>
      </c>
      <c r="AM114" s="72" t="str">
        <f>HYPERLINK("https://t.co/4YNEq7RD8a")</f>
        <v>https://t.co/4YNEq7RD8a</v>
      </c>
      <c r="AN114" s="68"/>
      <c r="AO114" s="70">
        <v>44042.078564814816</v>
      </c>
      <c r="AP114" s="72" t="str">
        <f>HYPERLINK("https://pbs.twimg.com/profile_banners/1288653700349571072/1596254063")</f>
        <v>https://pbs.twimg.com/profile_banners/1288653700349571072/1596254063</v>
      </c>
      <c r="AQ114" s="68" t="b">
        <v>1</v>
      </c>
      <c r="AR114" s="68" t="b">
        <v>0</v>
      </c>
      <c r="AS114" s="68" t="b">
        <v>0</v>
      </c>
      <c r="AT114" s="68"/>
      <c r="AU114" s="68">
        <v>28</v>
      </c>
      <c r="AV114" s="68"/>
      <c r="AW114" s="68" t="b">
        <v>0</v>
      </c>
      <c r="AX114" s="68" t="s">
        <v>331</v>
      </c>
      <c r="AY114" s="72" t="str">
        <f>HYPERLINK("https://twitter.com/auepochtimes")</f>
        <v>https://twitter.com/auepochtimes</v>
      </c>
      <c r="AZ114" s="68" t="s">
        <v>66</v>
      </c>
      <c r="BA114" s="67" t="str">
        <f>REPLACE(INDEX(GroupVertices[Group],MATCH(Vertices[[#This Row],[Vertex]],GroupVertices[Vertex],0)),1,1,"")</f>
        <v>9</v>
      </c>
      <c r="BB114" s="49">
        <v>0</v>
      </c>
      <c r="BC114" s="50">
        <v>0</v>
      </c>
      <c r="BD114" s="49">
        <v>1</v>
      </c>
      <c r="BE114" s="50">
        <v>2.7027027027027026</v>
      </c>
      <c r="BF114" s="49">
        <v>0</v>
      </c>
      <c r="BG114" s="50">
        <v>0</v>
      </c>
      <c r="BH114" s="49">
        <v>36</v>
      </c>
      <c r="BI114" s="50">
        <v>97.29729729729729</v>
      </c>
      <c r="BJ114" s="49">
        <v>37</v>
      </c>
      <c r="BK114" s="49" t="s">
        <v>449</v>
      </c>
      <c r="BL114" s="49" t="s">
        <v>449</v>
      </c>
      <c r="BM114" s="49" t="s">
        <v>270</v>
      </c>
      <c r="BN114" s="49" t="s">
        <v>270</v>
      </c>
      <c r="BO114" s="49" t="s">
        <v>271</v>
      </c>
      <c r="BP114" s="49" t="s">
        <v>271</v>
      </c>
      <c r="BQ114" s="92" t="s">
        <v>530</v>
      </c>
      <c r="BR114" s="92" t="s">
        <v>530</v>
      </c>
      <c r="BS114" s="92" t="s">
        <v>499</v>
      </c>
      <c r="BT114" s="92" t="s">
        <v>499</v>
      </c>
    </row>
    <row r="115" spans="1:72" ht="15">
      <c r="A115" s="66" t="s">
        <v>261</v>
      </c>
      <c r="B115" s="84"/>
      <c r="C115" s="84"/>
      <c r="D115" s="94">
        <v>100</v>
      </c>
      <c r="E115" s="104"/>
      <c r="F115" s="81" t="str">
        <f>HYPERLINK("https://pbs.twimg.com/profile_images/954141295093698560/9x68uifu_normal.jpg")</f>
        <v>https://pbs.twimg.com/profile_images/954141295093698560/9x68uifu_normal.jpg</v>
      </c>
      <c r="G115" s="105"/>
      <c r="H115" s="82" t="s">
        <v>261</v>
      </c>
      <c r="I115" s="97"/>
      <c r="J115" s="106"/>
      <c r="K115" s="82" t="s">
        <v>335</v>
      </c>
      <c r="L115" s="107">
        <v>1</v>
      </c>
      <c r="M115" s="101">
        <v>7972.36669921875</v>
      </c>
      <c r="N115" s="101">
        <v>6445.5439453125</v>
      </c>
      <c r="O115" s="102"/>
      <c r="P115" s="103"/>
      <c r="Q115" s="103"/>
      <c r="R115" s="108"/>
      <c r="S115" s="49">
        <v>2</v>
      </c>
      <c r="T115" s="49">
        <v>0</v>
      </c>
      <c r="U115" s="50">
        <v>0</v>
      </c>
      <c r="V115" s="50">
        <v>0.017094</v>
      </c>
      <c r="W115" s="50">
        <v>0</v>
      </c>
      <c r="X115" s="50">
        <v>0.008475</v>
      </c>
      <c r="Y115" s="50">
        <v>0.5</v>
      </c>
      <c r="Z115" s="50">
        <v>0</v>
      </c>
      <c r="AA115" s="98">
        <v>115</v>
      </c>
      <c r="AB115" s="98"/>
      <c r="AC115" s="99"/>
      <c r="AD115" s="68" t="s">
        <v>313</v>
      </c>
      <c r="AE115" s="73" t="s">
        <v>319</v>
      </c>
      <c r="AF115" s="68">
        <v>84</v>
      </c>
      <c r="AG115" s="68">
        <v>462468</v>
      </c>
      <c r="AH115" s="68">
        <v>227815</v>
      </c>
      <c r="AI115" s="68">
        <v>45069</v>
      </c>
      <c r="AJ115" s="68"/>
      <c r="AK115" s="68" t="s">
        <v>324</v>
      </c>
      <c r="AL115" s="68" t="s">
        <v>328</v>
      </c>
      <c r="AM115" s="72" t="str">
        <f>HYPERLINK("https://t.co/udZgeB9zvZ")</f>
        <v>https://t.co/udZgeB9zvZ</v>
      </c>
      <c r="AN115" s="68"/>
      <c r="AO115" s="70">
        <v>39908.996469907404</v>
      </c>
      <c r="AP115" s="72" t="str">
        <f>HYPERLINK("https://pbs.twimg.com/profile_banners/29097819/1516660974")</f>
        <v>https://pbs.twimg.com/profile_banners/29097819/1516660974</v>
      </c>
      <c r="AQ115" s="68" t="b">
        <v>0</v>
      </c>
      <c r="AR115" s="68" t="b">
        <v>0</v>
      </c>
      <c r="AS115" s="68" t="b">
        <v>0</v>
      </c>
      <c r="AT115" s="68"/>
      <c r="AU115" s="68">
        <v>2908</v>
      </c>
      <c r="AV115" s="72" t="str">
        <f>HYPERLINK("https://abs.twimg.com/images/themes/theme4/bg.gif")</f>
        <v>https://abs.twimg.com/images/themes/theme4/bg.gif</v>
      </c>
      <c r="AW115" s="68" t="b">
        <v>1</v>
      </c>
      <c r="AX115" s="68" t="s">
        <v>331</v>
      </c>
      <c r="AY115" s="72" t="str">
        <f>HYPERLINK("https://twitter.com/epochtimes")</f>
        <v>https://twitter.com/epochtimes</v>
      </c>
      <c r="AZ115" s="68" t="s">
        <v>65</v>
      </c>
      <c r="BA115" s="67" t="str">
        <f>REPLACE(INDEX(GroupVertices[Group],MATCH(Vertices[[#This Row],[Vertex]],GroupVertices[Vertex],0)),1,1,"")</f>
        <v>9</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6" t="s">
        <v>259</v>
      </c>
      <c r="B116" s="84"/>
      <c r="C116" s="84"/>
      <c r="D116" s="94">
        <v>100</v>
      </c>
      <c r="E116" s="104"/>
      <c r="F116" s="81" t="str">
        <f>HYPERLINK("https://pbs.twimg.com/profile_images/1094681472160673792/mqK_dabr_normal.jpg")</f>
        <v>https://pbs.twimg.com/profile_images/1094681472160673792/mqK_dabr_normal.jpg</v>
      </c>
      <c r="G116" s="105"/>
      <c r="H116" s="82" t="s">
        <v>259</v>
      </c>
      <c r="I116" s="97"/>
      <c r="J116" s="106"/>
      <c r="K116" s="82" t="s">
        <v>336</v>
      </c>
      <c r="L116" s="107">
        <v>1</v>
      </c>
      <c r="M116" s="101">
        <v>7972.36669921875</v>
      </c>
      <c r="N116" s="101">
        <v>5481.5146484375</v>
      </c>
      <c r="O116" s="102"/>
      <c r="P116" s="103"/>
      <c r="Q116" s="103"/>
      <c r="R116" s="108"/>
      <c r="S116" s="49">
        <v>0</v>
      </c>
      <c r="T116" s="49">
        <v>2</v>
      </c>
      <c r="U116" s="50">
        <v>0</v>
      </c>
      <c r="V116" s="50">
        <v>0.017094</v>
      </c>
      <c r="W116" s="50">
        <v>0</v>
      </c>
      <c r="X116" s="50">
        <v>0.008475</v>
      </c>
      <c r="Y116" s="50">
        <v>0.5</v>
      </c>
      <c r="Z116" s="50">
        <v>0</v>
      </c>
      <c r="AA116" s="98">
        <v>116</v>
      </c>
      <c r="AB116" s="98"/>
      <c r="AC116" s="99"/>
      <c r="AD116" s="68" t="s">
        <v>314</v>
      </c>
      <c r="AE116" s="73" t="s">
        <v>320</v>
      </c>
      <c r="AF116" s="68">
        <v>1174</v>
      </c>
      <c r="AG116" s="68">
        <v>678</v>
      </c>
      <c r="AH116" s="68">
        <v>174236</v>
      </c>
      <c r="AI116" s="68">
        <v>194235</v>
      </c>
      <c r="AJ116" s="68"/>
      <c r="AK116" s="68" t="s">
        <v>325</v>
      </c>
      <c r="AL116" s="68" t="s">
        <v>329</v>
      </c>
      <c r="AM116" s="68"/>
      <c r="AN116" s="68"/>
      <c r="AO116" s="70">
        <v>41911.63199074074</v>
      </c>
      <c r="AP116" s="68"/>
      <c r="AQ116" s="68" t="b">
        <v>1</v>
      </c>
      <c r="AR116" s="68" t="b">
        <v>0</v>
      </c>
      <c r="AS116" s="68" t="b">
        <v>1</v>
      </c>
      <c r="AT116" s="68"/>
      <c r="AU116" s="68">
        <v>32</v>
      </c>
      <c r="AV116" s="72" t="str">
        <f>HYPERLINK("https://abs.twimg.com/images/themes/theme1/bg.png")</f>
        <v>https://abs.twimg.com/images/themes/theme1/bg.png</v>
      </c>
      <c r="AW116" s="68" t="b">
        <v>0</v>
      </c>
      <c r="AX116" s="68" t="s">
        <v>331</v>
      </c>
      <c r="AY116" s="72" t="str">
        <f>HYPERLINK("https://twitter.com/kjusticemotors")</f>
        <v>https://twitter.com/kjusticemotors</v>
      </c>
      <c r="AZ116" s="68" t="s">
        <v>66</v>
      </c>
      <c r="BA116" s="67" t="str">
        <f>REPLACE(INDEX(GroupVertices[Group],MATCH(Vertices[[#This Row],[Vertex]],GroupVertices[Vertex],0)),1,1,"")</f>
        <v>9</v>
      </c>
      <c r="BB116" s="49">
        <v>0</v>
      </c>
      <c r="BC116" s="50">
        <v>0</v>
      </c>
      <c r="BD116" s="49">
        <v>1</v>
      </c>
      <c r="BE116" s="50">
        <v>2.7027027027027026</v>
      </c>
      <c r="BF116" s="49">
        <v>0</v>
      </c>
      <c r="BG116" s="50">
        <v>0</v>
      </c>
      <c r="BH116" s="49">
        <v>36</v>
      </c>
      <c r="BI116" s="50">
        <v>97.29729729729729</v>
      </c>
      <c r="BJ116" s="49">
        <v>37</v>
      </c>
      <c r="BK116" s="49" t="s">
        <v>449</v>
      </c>
      <c r="BL116" s="49" t="s">
        <v>449</v>
      </c>
      <c r="BM116" s="49" t="s">
        <v>270</v>
      </c>
      <c r="BN116" s="49" t="s">
        <v>270</v>
      </c>
      <c r="BO116" s="49" t="s">
        <v>271</v>
      </c>
      <c r="BP116" s="49" t="s">
        <v>271</v>
      </c>
      <c r="BQ116" s="92" t="s">
        <v>530</v>
      </c>
      <c r="BR116" s="92" t="s">
        <v>530</v>
      </c>
      <c r="BS116" s="92" t="s">
        <v>499</v>
      </c>
      <c r="BT116" s="92" t="s">
        <v>499</v>
      </c>
    </row>
    <row r="117" spans="1:72" ht="15">
      <c r="A117" s="66" t="s">
        <v>633</v>
      </c>
      <c r="B117" s="84"/>
      <c r="C117" s="84"/>
      <c r="D117" s="94">
        <v>100</v>
      </c>
      <c r="E117" s="104"/>
      <c r="F117" s="81" t="str">
        <f>HYPERLINK("https://pbs.twimg.com/profile_images/1099924622571495425/6-xfK-_0_normal.png")</f>
        <v>https://pbs.twimg.com/profile_images/1099924622571495425/6-xfK-_0_normal.png</v>
      </c>
      <c r="G117" s="105"/>
      <c r="H117" s="82" t="s">
        <v>633</v>
      </c>
      <c r="I117" s="97"/>
      <c r="J117" s="106"/>
      <c r="K117" s="82" t="s">
        <v>1457</v>
      </c>
      <c r="L117" s="107">
        <v>1</v>
      </c>
      <c r="M117" s="101">
        <v>3318.877197265625</v>
      </c>
      <c r="N117" s="101">
        <v>2858.45849609375</v>
      </c>
      <c r="O117" s="102"/>
      <c r="P117" s="103"/>
      <c r="Q117" s="103"/>
      <c r="R117" s="108"/>
      <c r="S117" s="49">
        <v>1</v>
      </c>
      <c r="T117" s="49">
        <v>1</v>
      </c>
      <c r="U117" s="50">
        <v>0</v>
      </c>
      <c r="V117" s="50">
        <v>0</v>
      </c>
      <c r="W117" s="50">
        <v>0</v>
      </c>
      <c r="X117" s="50">
        <v>0.008475</v>
      </c>
      <c r="Y117" s="50">
        <v>0</v>
      </c>
      <c r="Z117" s="50">
        <v>0</v>
      </c>
      <c r="AA117" s="98">
        <v>117</v>
      </c>
      <c r="AB117" s="98"/>
      <c r="AC117" s="99"/>
      <c r="AD117" s="68" t="s">
        <v>1070</v>
      </c>
      <c r="AE117" s="73" t="s">
        <v>1176</v>
      </c>
      <c r="AF117" s="68">
        <v>284</v>
      </c>
      <c r="AG117" s="68">
        <v>4714</v>
      </c>
      <c r="AH117" s="68">
        <v>2072</v>
      </c>
      <c r="AI117" s="68">
        <v>1248</v>
      </c>
      <c r="AJ117" s="68"/>
      <c r="AK117" s="68" t="s">
        <v>1284</v>
      </c>
      <c r="AL117" s="68" t="s">
        <v>1349</v>
      </c>
      <c r="AM117" s="72" t="str">
        <f>HYPERLINK("https://t.co/tLlrFrlKmK")</f>
        <v>https://t.co/tLlrFrlKmK</v>
      </c>
      <c r="AN117" s="68"/>
      <c r="AO117" s="70">
        <v>42337.422847222224</v>
      </c>
      <c r="AP117" s="72" t="str">
        <f>HYPERLINK("https://pbs.twimg.com/profile_banners/4316815947/1635520330")</f>
        <v>https://pbs.twimg.com/profile_banners/4316815947/1635520330</v>
      </c>
      <c r="AQ117" s="68" t="b">
        <v>1</v>
      </c>
      <c r="AR117" s="68" t="b">
        <v>0</v>
      </c>
      <c r="AS117" s="68" t="b">
        <v>0</v>
      </c>
      <c r="AT117" s="68"/>
      <c r="AU117" s="68">
        <v>70</v>
      </c>
      <c r="AV117" s="72" t="str">
        <f>HYPERLINK("https://abs.twimg.com/images/themes/theme1/bg.png")</f>
        <v>https://abs.twimg.com/images/themes/theme1/bg.png</v>
      </c>
      <c r="AW117" s="68" t="b">
        <v>0</v>
      </c>
      <c r="AX117" s="68" t="s">
        <v>331</v>
      </c>
      <c r="AY117" s="72" t="str">
        <f>HYPERLINK("https://twitter.com/3rdworldnetwork")</f>
        <v>https://twitter.com/3rdworldnetwork</v>
      </c>
      <c r="AZ117" s="68" t="s">
        <v>66</v>
      </c>
      <c r="BA117" s="67" t="str">
        <f>REPLACE(INDEX(GroupVertices[Group],MATCH(Vertices[[#This Row],[Vertex]],GroupVertices[Vertex],0)),1,1,"")</f>
        <v>2</v>
      </c>
      <c r="BB117" s="49">
        <v>0</v>
      </c>
      <c r="BC117" s="50">
        <v>0</v>
      </c>
      <c r="BD117" s="49">
        <v>0</v>
      </c>
      <c r="BE117" s="50">
        <v>0</v>
      </c>
      <c r="BF117" s="49">
        <v>0</v>
      </c>
      <c r="BG117" s="50">
        <v>0</v>
      </c>
      <c r="BH117" s="49">
        <v>42</v>
      </c>
      <c r="BI117" s="50">
        <v>100</v>
      </c>
      <c r="BJ117" s="49">
        <v>42</v>
      </c>
      <c r="BK117" s="49" t="s">
        <v>1912</v>
      </c>
      <c r="BL117" s="49" t="s">
        <v>1912</v>
      </c>
      <c r="BM117" s="49" t="s">
        <v>707</v>
      </c>
      <c r="BN117" s="49" t="s">
        <v>707</v>
      </c>
      <c r="BO117" s="49" t="s">
        <v>721</v>
      </c>
      <c r="BP117" s="49" t="s">
        <v>721</v>
      </c>
      <c r="BQ117" s="92" t="s">
        <v>1955</v>
      </c>
      <c r="BR117" s="92" t="s">
        <v>1955</v>
      </c>
      <c r="BS117" s="92" t="s">
        <v>1993</v>
      </c>
      <c r="BT117" s="92" t="s">
        <v>1993</v>
      </c>
    </row>
    <row r="118" spans="1:72" ht="15">
      <c r="A118" s="66" t="s">
        <v>634</v>
      </c>
      <c r="B118" s="84"/>
      <c r="C118" s="84"/>
      <c r="D118" s="94">
        <v>100</v>
      </c>
      <c r="E118" s="104"/>
      <c r="F118" s="81" t="str">
        <f>HYPERLINK("https://pbs.twimg.com/profile_images/1238032323133620224/vKTgucaf_normal.jpg")</f>
        <v>https://pbs.twimg.com/profile_images/1238032323133620224/vKTgucaf_normal.jpg</v>
      </c>
      <c r="G118" s="105"/>
      <c r="H118" s="82" t="s">
        <v>634</v>
      </c>
      <c r="I118" s="97"/>
      <c r="J118" s="106"/>
      <c r="K118" s="82" t="s">
        <v>1458</v>
      </c>
      <c r="L118" s="107">
        <v>1</v>
      </c>
      <c r="M118" s="101">
        <v>1906.5889892578125</v>
      </c>
      <c r="N118" s="101">
        <v>2858.45849609375</v>
      </c>
      <c r="O118" s="102"/>
      <c r="P118" s="103"/>
      <c r="Q118" s="103"/>
      <c r="R118" s="108"/>
      <c r="S118" s="49">
        <v>1</v>
      </c>
      <c r="T118" s="49">
        <v>1</v>
      </c>
      <c r="U118" s="50">
        <v>0</v>
      </c>
      <c r="V118" s="50">
        <v>0</v>
      </c>
      <c r="W118" s="50">
        <v>0</v>
      </c>
      <c r="X118" s="50">
        <v>0.008475</v>
      </c>
      <c r="Y118" s="50">
        <v>0</v>
      </c>
      <c r="Z118" s="50">
        <v>0</v>
      </c>
      <c r="AA118" s="98">
        <v>118</v>
      </c>
      <c r="AB118" s="98"/>
      <c r="AC118" s="99"/>
      <c r="AD118" s="68" t="s">
        <v>1071</v>
      </c>
      <c r="AE118" s="73" t="s">
        <v>1177</v>
      </c>
      <c r="AF118" s="68">
        <v>2433</v>
      </c>
      <c r="AG118" s="68">
        <v>2334</v>
      </c>
      <c r="AH118" s="68">
        <v>8369</v>
      </c>
      <c r="AI118" s="68">
        <v>6259</v>
      </c>
      <c r="AJ118" s="68"/>
      <c r="AK118" s="68" t="s">
        <v>1285</v>
      </c>
      <c r="AL118" s="68" t="s">
        <v>1323</v>
      </c>
      <c r="AM118" s="72" t="str">
        <f>HYPERLINK("https://t.co/LJtSReP4NO")</f>
        <v>https://t.co/LJtSReP4NO</v>
      </c>
      <c r="AN118" s="68"/>
      <c r="AO118" s="70">
        <v>39862.3503125</v>
      </c>
      <c r="AP118" s="72" t="str">
        <f>HYPERLINK("https://pbs.twimg.com/profile_banners/21179210/1555268009")</f>
        <v>https://pbs.twimg.com/profile_banners/21179210/1555268009</v>
      </c>
      <c r="AQ118" s="68" t="b">
        <v>0</v>
      </c>
      <c r="AR118" s="68" t="b">
        <v>0</v>
      </c>
      <c r="AS118" s="68" t="b">
        <v>0</v>
      </c>
      <c r="AT118" s="68"/>
      <c r="AU118" s="68">
        <v>56</v>
      </c>
      <c r="AV118" s="72" t="str">
        <f>HYPERLINK("https://abs.twimg.com/images/themes/theme14/bg.gif")</f>
        <v>https://abs.twimg.com/images/themes/theme14/bg.gif</v>
      </c>
      <c r="AW118" s="68" t="b">
        <v>0</v>
      </c>
      <c r="AX118" s="68" t="s">
        <v>331</v>
      </c>
      <c r="AY118" s="72" t="str">
        <f>HYPERLINK("https://twitter.com/vheeringa")</f>
        <v>https://twitter.com/vheeringa</v>
      </c>
      <c r="AZ118" s="68" t="s">
        <v>66</v>
      </c>
      <c r="BA118" s="67" t="str">
        <f>REPLACE(INDEX(GroupVertices[Group],MATCH(Vertices[[#This Row],[Vertex]],GroupVertices[Vertex],0)),1,1,"")</f>
        <v>2</v>
      </c>
      <c r="BB118" s="49">
        <v>0</v>
      </c>
      <c r="BC118" s="50">
        <v>0</v>
      </c>
      <c r="BD118" s="49">
        <v>0</v>
      </c>
      <c r="BE118" s="50">
        <v>0</v>
      </c>
      <c r="BF118" s="49">
        <v>0</v>
      </c>
      <c r="BG118" s="50">
        <v>0</v>
      </c>
      <c r="BH118" s="49">
        <v>4</v>
      </c>
      <c r="BI118" s="50">
        <v>100</v>
      </c>
      <c r="BJ118" s="49">
        <v>4</v>
      </c>
      <c r="BK118" s="49"/>
      <c r="BL118" s="49"/>
      <c r="BM118" s="49"/>
      <c r="BN118" s="49"/>
      <c r="BO118" s="49"/>
      <c r="BP118" s="49"/>
      <c r="BQ118" s="92" t="s">
        <v>1492</v>
      </c>
      <c r="BR118" s="92" t="s">
        <v>1492</v>
      </c>
      <c r="BS118" s="92" t="s">
        <v>1994</v>
      </c>
      <c r="BT118" s="92" t="s">
        <v>1994</v>
      </c>
    </row>
    <row r="119" spans="1:72" ht="15">
      <c r="A119" s="66" t="s">
        <v>635</v>
      </c>
      <c r="B119" s="84"/>
      <c r="C119" s="84"/>
      <c r="D119" s="94">
        <v>100</v>
      </c>
      <c r="E119" s="104"/>
      <c r="F119" s="81" t="str">
        <f>HYPERLINK("https://pbs.twimg.com/profile_images/849251787953623040/caYLRHBF_normal.jpg")</f>
        <v>https://pbs.twimg.com/profile_images/849251787953623040/caYLRHBF_normal.jpg</v>
      </c>
      <c r="G119" s="105"/>
      <c r="H119" s="82" t="s">
        <v>635</v>
      </c>
      <c r="I119" s="97"/>
      <c r="J119" s="106"/>
      <c r="K119" s="82" t="s">
        <v>1459</v>
      </c>
      <c r="L119" s="107">
        <v>1</v>
      </c>
      <c r="M119" s="101">
        <v>494.30084228515625</v>
      </c>
      <c r="N119" s="101">
        <v>2858.45849609375</v>
      </c>
      <c r="O119" s="102"/>
      <c r="P119" s="103"/>
      <c r="Q119" s="103"/>
      <c r="R119" s="108"/>
      <c r="S119" s="49">
        <v>1</v>
      </c>
      <c r="T119" s="49">
        <v>1</v>
      </c>
      <c r="U119" s="50">
        <v>0</v>
      </c>
      <c r="V119" s="50">
        <v>0</v>
      </c>
      <c r="W119" s="50">
        <v>0</v>
      </c>
      <c r="X119" s="50">
        <v>0.008475</v>
      </c>
      <c r="Y119" s="50">
        <v>0</v>
      </c>
      <c r="Z119" s="50">
        <v>0</v>
      </c>
      <c r="AA119" s="98">
        <v>119</v>
      </c>
      <c r="AB119" s="98"/>
      <c r="AC119" s="99"/>
      <c r="AD119" s="68" t="s">
        <v>1072</v>
      </c>
      <c r="AE119" s="73" t="s">
        <v>1178</v>
      </c>
      <c r="AF119" s="68">
        <v>1300</v>
      </c>
      <c r="AG119" s="68">
        <v>10531</v>
      </c>
      <c r="AH119" s="68">
        <v>31440</v>
      </c>
      <c r="AI119" s="68">
        <v>1110</v>
      </c>
      <c r="AJ119" s="68"/>
      <c r="AK119" s="68" t="s">
        <v>1286</v>
      </c>
      <c r="AL119" s="68" t="s">
        <v>328</v>
      </c>
      <c r="AM119" s="72" t="str">
        <f>HYPERLINK("https://t.co/Cf9cKFsVLb")</f>
        <v>https://t.co/Cf9cKFsVLb</v>
      </c>
      <c r="AN119" s="68"/>
      <c r="AO119" s="70">
        <v>39990.820439814815</v>
      </c>
      <c r="AP119" s="72" t="str">
        <f>HYPERLINK("https://pbs.twimg.com/profile_banners/51194804/1491312366")</f>
        <v>https://pbs.twimg.com/profile_banners/51194804/1491312366</v>
      </c>
      <c r="AQ119" s="68" t="b">
        <v>0</v>
      </c>
      <c r="AR119" s="68" t="b">
        <v>0</v>
      </c>
      <c r="AS119" s="68" t="b">
        <v>0</v>
      </c>
      <c r="AT119" s="68"/>
      <c r="AU119" s="68">
        <v>135</v>
      </c>
      <c r="AV119" s="72" t="str">
        <f>HYPERLINK("https://abs.twimg.com/images/themes/theme1/bg.png")</f>
        <v>https://abs.twimg.com/images/themes/theme1/bg.png</v>
      </c>
      <c r="AW119" s="68" t="b">
        <v>0</v>
      </c>
      <c r="AX119" s="68" t="s">
        <v>331</v>
      </c>
      <c r="AY119" s="72" t="str">
        <f>HYPERLINK("https://twitter.com/edairynews")</f>
        <v>https://twitter.com/edairynews</v>
      </c>
      <c r="AZ119" s="68" t="s">
        <v>66</v>
      </c>
      <c r="BA119" s="67" t="str">
        <f>REPLACE(INDEX(GroupVertices[Group],MATCH(Vertices[[#This Row],[Vertex]],GroupVertices[Vertex],0)),1,1,"")</f>
        <v>2</v>
      </c>
      <c r="BB119" s="49">
        <v>0</v>
      </c>
      <c r="BC119" s="50">
        <v>0</v>
      </c>
      <c r="BD119" s="49">
        <v>0</v>
      </c>
      <c r="BE119" s="50">
        <v>0</v>
      </c>
      <c r="BF119" s="49">
        <v>0</v>
      </c>
      <c r="BG119" s="50">
        <v>0</v>
      </c>
      <c r="BH119" s="49">
        <v>15</v>
      </c>
      <c r="BI119" s="50">
        <v>100</v>
      </c>
      <c r="BJ119" s="49">
        <v>15</v>
      </c>
      <c r="BK119" s="49" t="s">
        <v>1913</v>
      </c>
      <c r="BL119" s="49" t="s">
        <v>1913</v>
      </c>
      <c r="BM119" s="49" t="s">
        <v>708</v>
      </c>
      <c r="BN119" s="49" t="s">
        <v>708</v>
      </c>
      <c r="BO119" s="49"/>
      <c r="BP119" s="49"/>
      <c r="BQ119" s="92" t="s">
        <v>1935</v>
      </c>
      <c r="BR119" s="92" t="s">
        <v>1935</v>
      </c>
      <c r="BS119" s="92" t="s">
        <v>1976</v>
      </c>
      <c r="BT119" s="92" t="s">
        <v>1976</v>
      </c>
    </row>
    <row r="120" spans="1:72" ht="15">
      <c r="A120" s="66" t="s">
        <v>636</v>
      </c>
      <c r="B120" s="84"/>
      <c r="C120" s="84"/>
      <c r="D120" s="94">
        <v>100</v>
      </c>
      <c r="E120" s="104"/>
      <c r="F120" s="81" t="str">
        <f>HYPERLINK("https://pbs.twimg.com/profile_images/1505759543875469319/53u_4sa6_normal.png")</f>
        <v>https://pbs.twimg.com/profile_images/1505759543875469319/53u_4sa6_normal.png</v>
      </c>
      <c r="G120" s="105"/>
      <c r="H120" s="82" t="s">
        <v>636</v>
      </c>
      <c r="I120" s="97"/>
      <c r="J120" s="106"/>
      <c r="K120" s="82" t="s">
        <v>1460</v>
      </c>
      <c r="L120" s="107">
        <v>1</v>
      </c>
      <c r="M120" s="101">
        <v>1200.4449462890625</v>
      </c>
      <c r="N120" s="101">
        <v>2858.45849609375</v>
      </c>
      <c r="O120" s="102"/>
      <c r="P120" s="103"/>
      <c r="Q120" s="103"/>
      <c r="R120" s="108"/>
      <c r="S120" s="49">
        <v>1</v>
      </c>
      <c r="T120" s="49">
        <v>1</v>
      </c>
      <c r="U120" s="50">
        <v>0</v>
      </c>
      <c r="V120" s="50">
        <v>0</v>
      </c>
      <c r="W120" s="50">
        <v>0</v>
      </c>
      <c r="X120" s="50">
        <v>0.008475</v>
      </c>
      <c r="Y120" s="50">
        <v>0</v>
      </c>
      <c r="Z120" s="50">
        <v>0</v>
      </c>
      <c r="AA120" s="98">
        <v>120</v>
      </c>
      <c r="AB120" s="98"/>
      <c r="AC120" s="99"/>
      <c r="AD120" s="68" t="s">
        <v>1073</v>
      </c>
      <c r="AE120" s="73" t="s">
        <v>1179</v>
      </c>
      <c r="AF120" s="68">
        <v>1</v>
      </c>
      <c r="AG120" s="68">
        <v>0</v>
      </c>
      <c r="AH120" s="68">
        <v>5</v>
      </c>
      <c r="AI120" s="68">
        <v>0</v>
      </c>
      <c r="AJ120" s="68"/>
      <c r="AK120" s="68" t="s">
        <v>1287</v>
      </c>
      <c r="AL120" s="68" t="s">
        <v>1323</v>
      </c>
      <c r="AM120" s="72" t="str">
        <f>HYPERLINK("https://t.co/Xh6F66cwhw")</f>
        <v>https://t.co/Xh6F66cwhw</v>
      </c>
      <c r="AN120" s="68"/>
      <c r="AO120" s="70">
        <v>44641.176087962966</v>
      </c>
      <c r="AP120" s="72" t="str">
        <f>HYPERLINK("https://pbs.twimg.com/profile_banners/1505759050826657792/1647836209")</f>
        <v>https://pbs.twimg.com/profile_banners/1505759050826657792/1647836209</v>
      </c>
      <c r="AQ120" s="68" t="b">
        <v>1</v>
      </c>
      <c r="AR120" s="68" t="b">
        <v>0</v>
      </c>
      <c r="AS120" s="68" t="b">
        <v>0</v>
      </c>
      <c r="AT120" s="68"/>
      <c r="AU120" s="68">
        <v>0</v>
      </c>
      <c r="AV120" s="68"/>
      <c r="AW120" s="68" t="b">
        <v>0</v>
      </c>
      <c r="AX120" s="68" t="s">
        <v>331</v>
      </c>
      <c r="AY120" s="72" t="str">
        <f>HYPERLINK("https://twitter.com/insights_nz")</f>
        <v>https://twitter.com/insights_nz</v>
      </c>
      <c r="AZ120" s="68" t="s">
        <v>66</v>
      </c>
      <c r="BA120" s="67" t="str">
        <f>REPLACE(INDEX(GroupVertices[Group],MATCH(Vertices[[#This Row],[Vertex]],GroupVertices[Vertex],0)),1,1,"")</f>
        <v>2</v>
      </c>
      <c r="BB120" s="49">
        <v>1</v>
      </c>
      <c r="BC120" s="50">
        <v>2.6315789473684212</v>
      </c>
      <c r="BD120" s="49">
        <v>0</v>
      </c>
      <c r="BE120" s="50">
        <v>0</v>
      </c>
      <c r="BF120" s="49">
        <v>0</v>
      </c>
      <c r="BG120" s="50">
        <v>0</v>
      </c>
      <c r="BH120" s="49">
        <v>37</v>
      </c>
      <c r="BI120" s="50">
        <v>97.36842105263158</v>
      </c>
      <c r="BJ120" s="49">
        <v>38</v>
      </c>
      <c r="BK120" s="49" t="s">
        <v>1914</v>
      </c>
      <c r="BL120" s="49" t="s">
        <v>1914</v>
      </c>
      <c r="BM120" s="49" t="s">
        <v>269</v>
      </c>
      <c r="BN120" s="49" t="s">
        <v>269</v>
      </c>
      <c r="BO120" s="49" t="s">
        <v>722</v>
      </c>
      <c r="BP120" s="49" t="s">
        <v>722</v>
      </c>
      <c r="BQ120" s="92" t="s">
        <v>1956</v>
      </c>
      <c r="BR120" s="92" t="s">
        <v>1956</v>
      </c>
      <c r="BS120" s="92" t="s">
        <v>1995</v>
      </c>
      <c r="BT120" s="92" t="s">
        <v>1995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7109375" style="0" bestFit="1" customWidth="1"/>
    <col min="26" max="26" width="22.140625" style="0" bestFit="1" customWidth="1"/>
    <col min="27" max="27" width="17.7109375" style="0" bestFit="1" customWidth="1"/>
    <col min="28" max="28" width="22.140625" style="0" bestFit="1" customWidth="1"/>
    <col min="29" max="29" width="17.7109375" style="0" bestFit="1" customWidth="1"/>
    <col min="30" max="30" width="22.140625" style="0" bestFit="1" customWidth="1"/>
    <col min="31" max="31" width="16.8515625" style="0" bestFit="1" customWidth="1"/>
    <col min="32" max="32" width="20.57421875" style="0" bestFit="1" customWidth="1"/>
    <col min="33" max="33" width="15.28125" style="0" bestFit="1" customWidth="1"/>
    <col min="34" max="34" width="10.8515625" style="0" bestFit="1" customWidth="1"/>
    <col min="35" max="35" width="13.8515625" style="0" bestFit="1" customWidth="1"/>
    <col min="36" max="36" width="14.140625" style="0" bestFit="1" customWidth="1"/>
    <col min="37" max="37" width="12.140625" style="0" bestFit="1" customWidth="1"/>
    <col min="38" max="38" width="14.57421875" style="0" bestFit="1" customWidth="1"/>
    <col min="39" max="39" width="12.7109375" style="0" bestFit="1" customWidth="1"/>
    <col min="40" max="40" width="15.71093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402</v>
      </c>
      <c r="Z2" s="54" t="s">
        <v>403</v>
      </c>
      <c r="AA2" s="54" t="s">
        <v>404</v>
      </c>
      <c r="AB2" s="54" t="s">
        <v>405</v>
      </c>
      <c r="AC2" s="54" t="s">
        <v>406</v>
      </c>
      <c r="AD2" s="54" t="s">
        <v>407</v>
      </c>
      <c r="AE2" s="54" t="s">
        <v>408</v>
      </c>
      <c r="AF2" s="54" t="s">
        <v>409</v>
      </c>
      <c r="AG2" s="54" t="s">
        <v>412</v>
      </c>
      <c r="AH2" s="13" t="s">
        <v>460</v>
      </c>
      <c r="AI2" s="13" t="s">
        <v>466</v>
      </c>
      <c r="AJ2" s="13" t="s">
        <v>473</v>
      </c>
      <c r="AK2" s="13" t="s">
        <v>479</v>
      </c>
      <c r="AL2" s="13" t="s">
        <v>498</v>
      </c>
      <c r="AM2" s="13" t="s">
        <v>511</v>
      </c>
      <c r="AN2" s="13" t="s">
        <v>512</v>
      </c>
      <c r="AO2" s="13" t="s">
        <v>518</v>
      </c>
    </row>
    <row r="3" spans="1:41" ht="15">
      <c r="A3" s="66" t="s">
        <v>340</v>
      </c>
      <c r="B3" s="84" t="s">
        <v>343</v>
      </c>
      <c r="C3" s="84" t="s">
        <v>56</v>
      </c>
      <c r="D3" s="14"/>
      <c r="E3" s="14"/>
      <c r="F3" s="15" t="s">
        <v>2014</v>
      </c>
      <c r="G3" s="64"/>
      <c r="H3" s="64"/>
      <c r="I3" s="65">
        <v>3</v>
      </c>
      <c r="J3" s="51"/>
      <c r="K3" s="49">
        <v>24</v>
      </c>
      <c r="L3" s="49">
        <v>23</v>
      </c>
      <c r="M3" s="49">
        <v>4</v>
      </c>
      <c r="N3" s="49">
        <v>27</v>
      </c>
      <c r="O3" s="49">
        <v>3</v>
      </c>
      <c r="P3" s="50">
        <v>0</v>
      </c>
      <c r="Q3" s="50">
        <v>0</v>
      </c>
      <c r="R3" s="49">
        <v>1</v>
      </c>
      <c r="S3" s="49">
        <v>0</v>
      </c>
      <c r="T3" s="49">
        <v>24</v>
      </c>
      <c r="U3" s="49">
        <v>27</v>
      </c>
      <c r="V3" s="49">
        <v>2</v>
      </c>
      <c r="W3" s="50">
        <v>1.836806</v>
      </c>
      <c r="X3" s="50">
        <v>0.041666666666666664</v>
      </c>
      <c r="Y3" s="49">
        <v>42</v>
      </c>
      <c r="Z3" s="50">
        <v>3.3201581027667983</v>
      </c>
      <c r="AA3" s="49">
        <v>0</v>
      </c>
      <c r="AB3" s="50">
        <v>0</v>
      </c>
      <c r="AC3" s="49">
        <v>0</v>
      </c>
      <c r="AD3" s="50">
        <v>0</v>
      </c>
      <c r="AE3" s="49">
        <v>1223</v>
      </c>
      <c r="AF3" s="50">
        <v>96.6798418972332</v>
      </c>
      <c r="AG3" s="49">
        <v>1265</v>
      </c>
      <c r="AH3" s="67"/>
      <c r="AI3" s="67"/>
      <c r="AJ3" s="67" t="s">
        <v>718</v>
      </c>
      <c r="AK3" s="76" t="s">
        <v>1779</v>
      </c>
      <c r="AL3" s="76" t="s">
        <v>1859</v>
      </c>
      <c r="AM3" s="76"/>
      <c r="AN3" s="76"/>
      <c r="AO3" s="76" t="s">
        <v>1891</v>
      </c>
    </row>
    <row r="4" spans="1:41" ht="15">
      <c r="A4" s="109" t="s">
        <v>341</v>
      </c>
      <c r="B4" s="84" t="s">
        <v>344</v>
      </c>
      <c r="C4" s="84" t="s">
        <v>56</v>
      </c>
      <c r="D4" s="110"/>
      <c r="E4" s="14"/>
      <c r="F4" s="15" t="s">
        <v>2015</v>
      </c>
      <c r="G4" s="64"/>
      <c r="H4" s="64"/>
      <c r="I4" s="65">
        <v>4</v>
      </c>
      <c r="J4" s="111"/>
      <c r="K4" s="49">
        <v>20</v>
      </c>
      <c r="L4" s="49">
        <v>20</v>
      </c>
      <c r="M4" s="49">
        <v>0</v>
      </c>
      <c r="N4" s="49">
        <v>20</v>
      </c>
      <c r="O4" s="49">
        <v>20</v>
      </c>
      <c r="P4" s="50" t="s">
        <v>349</v>
      </c>
      <c r="Q4" s="50" t="s">
        <v>349</v>
      </c>
      <c r="R4" s="49">
        <v>20</v>
      </c>
      <c r="S4" s="49">
        <v>20</v>
      </c>
      <c r="T4" s="49">
        <v>1</v>
      </c>
      <c r="U4" s="49">
        <v>1</v>
      </c>
      <c r="V4" s="49">
        <v>0</v>
      </c>
      <c r="W4" s="50">
        <v>0</v>
      </c>
      <c r="X4" s="50">
        <v>0</v>
      </c>
      <c r="Y4" s="49">
        <v>21</v>
      </c>
      <c r="Z4" s="50">
        <v>3.2061068702290076</v>
      </c>
      <c r="AA4" s="49">
        <v>6</v>
      </c>
      <c r="AB4" s="50">
        <v>0.916030534351145</v>
      </c>
      <c r="AC4" s="49">
        <v>0</v>
      </c>
      <c r="AD4" s="50">
        <v>0</v>
      </c>
      <c r="AE4" s="49">
        <v>628</v>
      </c>
      <c r="AF4" s="50">
        <v>95.87786259541984</v>
      </c>
      <c r="AG4" s="49">
        <v>655</v>
      </c>
      <c r="AH4" s="67" t="s">
        <v>1739</v>
      </c>
      <c r="AI4" s="67" t="s">
        <v>1751</v>
      </c>
      <c r="AJ4" s="67" t="s">
        <v>1772</v>
      </c>
      <c r="AK4" s="76" t="s">
        <v>1780</v>
      </c>
      <c r="AL4" s="76" t="s">
        <v>1860</v>
      </c>
      <c r="AM4" s="67"/>
      <c r="AN4" s="67"/>
      <c r="AO4" s="67" t="s">
        <v>1892</v>
      </c>
    </row>
    <row r="5" spans="1:41" ht="15">
      <c r="A5" s="109" t="s">
        <v>342</v>
      </c>
      <c r="B5" s="84" t="s">
        <v>345</v>
      </c>
      <c r="C5" s="84" t="s">
        <v>56</v>
      </c>
      <c r="D5" s="110"/>
      <c r="E5" s="14"/>
      <c r="F5" s="15" t="s">
        <v>342</v>
      </c>
      <c r="G5" s="64"/>
      <c r="H5" s="64"/>
      <c r="I5" s="65">
        <v>5</v>
      </c>
      <c r="J5" s="111"/>
      <c r="K5" s="49">
        <v>13</v>
      </c>
      <c r="L5" s="49">
        <v>13</v>
      </c>
      <c r="M5" s="49">
        <v>0</v>
      </c>
      <c r="N5" s="49">
        <v>13</v>
      </c>
      <c r="O5" s="49">
        <v>1</v>
      </c>
      <c r="P5" s="50">
        <v>0</v>
      </c>
      <c r="Q5" s="50">
        <v>0</v>
      </c>
      <c r="R5" s="49">
        <v>1</v>
      </c>
      <c r="S5" s="49">
        <v>0</v>
      </c>
      <c r="T5" s="49">
        <v>13</v>
      </c>
      <c r="U5" s="49">
        <v>13</v>
      </c>
      <c r="V5" s="49">
        <v>2</v>
      </c>
      <c r="W5" s="50">
        <v>1.704142</v>
      </c>
      <c r="X5" s="50">
        <v>0.07692307692307693</v>
      </c>
      <c r="Y5" s="49">
        <v>13</v>
      </c>
      <c r="Z5" s="50">
        <v>2.3255813953488373</v>
      </c>
      <c r="AA5" s="49">
        <v>0</v>
      </c>
      <c r="AB5" s="50">
        <v>0</v>
      </c>
      <c r="AC5" s="49">
        <v>0</v>
      </c>
      <c r="AD5" s="50">
        <v>0</v>
      </c>
      <c r="AE5" s="49">
        <v>546</v>
      </c>
      <c r="AF5" s="50">
        <v>97.67441860465117</v>
      </c>
      <c r="AG5" s="49">
        <v>559</v>
      </c>
      <c r="AH5" s="67"/>
      <c r="AI5" s="67"/>
      <c r="AJ5" s="67"/>
      <c r="AK5" s="76" t="s">
        <v>1781</v>
      </c>
      <c r="AL5" s="76" t="s">
        <v>1861</v>
      </c>
      <c r="AM5" s="67"/>
      <c r="AN5" s="67"/>
      <c r="AO5" s="67" t="s">
        <v>1893</v>
      </c>
    </row>
    <row r="6" spans="1:41" ht="15">
      <c r="A6" s="109" t="s">
        <v>1462</v>
      </c>
      <c r="B6" s="84" t="s">
        <v>1482</v>
      </c>
      <c r="C6" s="84" t="s">
        <v>56</v>
      </c>
      <c r="D6" s="110"/>
      <c r="E6" s="14"/>
      <c r="F6" s="15" t="s">
        <v>2016</v>
      </c>
      <c r="G6" s="64"/>
      <c r="H6" s="64"/>
      <c r="I6" s="65">
        <v>6</v>
      </c>
      <c r="J6" s="111"/>
      <c r="K6" s="49">
        <v>6</v>
      </c>
      <c r="L6" s="49">
        <v>8</v>
      </c>
      <c r="M6" s="49">
        <v>2</v>
      </c>
      <c r="N6" s="49">
        <v>10</v>
      </c>
      <c r="O6" s="49">
        <v>0</v>
      </c>
      <c r="P6" s="50">
        <v>0</v>
      </c>
      <c r="Q6" s="50">
        <v>0</v>
      </c>
      <c r="R6" s="49">
        <v>1</v>
      </c>
      <c r="S6" s="49">
        <v>0</v>
      </c>
      <c r="T6" s="49">
        <v>6</v>
      </c>
      <c r="U6" s="49">
        <v>10</v>
      </c>
      <c r="V6" s="49">
        <v>2</v>
      </c>
      <c r="W6" s="50">
        <v>1.166667</v>
      </c>
      <c r="X6" s="50">
        <v>0.3</v>
      </c>
      <c r="Y6" s="49">
        <v>18</v>
      </c>
      <c r="Z6" s="50">
        <v>25</v>
      </c>
      <c r="AA6" s="49">
        <v>0</v>
      </c>
      <c r="AB6" s="50">
        <v>0</v>
      </c>
      <c r="AC6" s="49">
        <v>0</v>
      </c>
      <c r="AD6" s="50">
        <v>0</v>
      </c>
      <c r="AE6" s="49">
        <v>54</v>
      </c>
      <c r="AF6" s="50">
        <v>75</v>
      </c>
      <c r="AG6" s="49">
        <v>72</v>
      </c>
      <c r="AH6" s="67" t="s">
        <v>1711</v>
      </c>
      <c r="AI6" s="67" t="s">
        <v>702</v>
      </c>
      <c r="AJ6" s="67" t="s">
        <v>713</v>
      </c>
      <c r="AK6" s="76" t="s">
        <v>1782</v>
      </c>
      <c r="AL6" s="76" t="s">
        <v>1862</v>
      </c>
      <c r="AM6" s="67"/>
      <c r="AN6" s="67" t="s">
        <v>642</v>
      </c>
      <c r="AO6" s="67" t="s">
        <v>1894</v>
      </c>
    </row>
    <row r="7" spans="1:41" ht="15">
      <c r="A7" s="109" t="s">
        <v>1463</v>
      </c>
      <c r="B7" s="84" t="s">
        <v>1483</v>
      </c>
      <c r="C7" s="84" t="s">
        <v>56</v>
      </c>
      <c r="D7" s="110"/>
      <c r="E7" s="14"/>
      <c r="F7" s="15" t="s">
        <v>2017</v>
      </c>
      <c r="G7" s="64"/>
      <c r="H7" s="64"/>
      <c r="I7" s="65">
        <v>7</v>
      </c>
      <c r="J7" s="111"/>
      <c r="K7" s="49">
        <v>6</v>
      </c>
      <c r="L7" s="49">
        <v>5</v>
      </c>
      <c r="M7" s="49">
        <v>2</v>
      </c>
      <c r="N7" s="49">
        <v>7</v>
      </c>
      <c r="O7" s="49">
        <v>2</v>
      </c>
      <c r="P7" s="50">
        <v>0</v>
      </c>
      <c r="Q7" s="50">
        <v>0</v>
      </c>
      <c r="R7" s="49">
        <v>1</v>
      </c>
      <c r="S7" s="49">
        <v>0</v>
      </c>
      <c r="T7" s="49">
        <v>6</v>
      </c>
      <c r="U7" s="49">
        <v>7</v>
      </c>
      <c r="V7" s="49">
        <v>2</v>
      </c>
      <c r="W7" s="50">
        <v>1.388889</v>
      </c>
      <c r="X7" s="50">
        <v>0.16666666666666666</v>
      </c>
      <c r="Y7" s="49">
        <v>0</v>
      </c>
      <c r="Z7" s="50">
        <v>0</v>
      </c>
      <c r="AA7" s="49">
        <v>0</v>
      </c>
      <c r="AB7" s="50">
        <v>0</v>
      </c>
      <c r="AC7" s="49">
        <v>0</v>
      </c>
      <c r="AD7" s="50">
        <v>0</v>
      </c>
      <c r="AE7" s="49">
        <v>315</v>
      </c>
      <c r="AF7" s="50">
        <v>100</v>
      </c>
      <c r="AG7" s="49">
        <v>315</v>
      </c>
      <c r="AH7" s="67"/>
      <c r="AI7" s="67"/>
      <c r="AJ7" s="67" t="s">
        <v>712</v>
      </c>
      <c r="AK7" s="76" t="s">
        <v>1783</v>
      </c>
      <c r="AL7" s="76" t="s">
        <v>1863</v>
      </c>
      <c r="AM7" s="67"/>
      <c r="AN7" s="67"/>
      <c r="AO7" s="67" t="s">
        <v>1895</v>
      </c>
    </row>
    <row r="8" spans="1:41" ht="15">
      <c r="A8" s="109" t="s">
        <v>1464</v>
      </c>
      <c r="B8" s="84" t="s">
        <v>1484</v>
      </c>
      <c r="C8" s="84" t="s">
        <v>56</v>
      </c>
      <c r="D8" s="110"/>
      <c r="E8" s="14"/>
      <c r="F8" s="15" t="s">
        <v>2018</v>
      </c>
      <c r="G8" s="64"/>
      <c r="H8" s="64"/>
      <c r="I8" s="65">
        <v>8</v>
      </c>
      <c r="J8" s="111"/>
      <c r="K8" s="49">
        <v>5</v>
      </c>
      <c r="L8" s="49">
        <v>10</v>
      </c>
      <c r="M8" s="49">
        <v>0</v>
      </c>
      <c r="N8" s="49">
        <v>10</v>
      </c>
      <c r="O8" s="49">
        <v>1</v>
      </c>
      <c r="P8" s="50">
        <v>0.125</v>
      </c>
      <c r="Q8" s="50">
        <v>0.2222222222222222</v>
      </c>
      <c r="R8" s="49">
        <v>1</v>
      </c>
      <c r="S8" s="49">
        <v>0</v>
      </c>
      <c r="T8" s="49">
        <v>5</v>
      </c>
      <c r="U8" s="49">
        <v>10</v>
      </c>
      <c r="V8" s="49">
        <v>2</v>
      </c>
      <c r="W8" s="50">
        <v>0.96</v>
      </c>
      <c r="X8" s="50">
        <v>0.45</v>
      </c>
      <c r="Y8" s="49">
        <v>7</v>
      </c>
      <c r="Z8" s="50">
        <v>5.185185185185185</v>
      </c>
      <c r="AA8" s="49">
        <v>5</v>
      </c>
      <c r="AB8" s="50">
        <v>3.7037037037037037</v>
      </c>
      <c r="AC8" s="49">
        <v>0</v>
      </c>
      <c r="AD8" s="50">
        <v>0</v>
      </c>
      <c r="AE8" s="49">
        <v>123</v>
      </c>
      <c r="AF8" s="50">
        <v>91.11111111111111</v>
      </c>
      <c r="AG8" s="49">
        <v>135</v>
      </c>
      <c r="AH8" s="67" t="s">
        <v>1740</v>
      </c>
      <c r="AI8" s="67" t="s">
        <v>269</v>
      </c>
      <c r="AJ8" s="67" t="s">
        <v>714</v>
      </c>
      <c r="AK8" s="76" t="s">
        <v>1784</v>
      </c>
      <c r="AL8" s="76" t="s">
        <v>1864</v>
      </c>
      <c r="AM8" s="67"/>
      <c r="AN8" s="67" t="s">
        <v>570</v>
      </c>
      <c r="AO8" s="67" t="s">
        <v>1896</v>
      </c>
    </row>
    <row r="9" spans="1:41" ht="15">
      <c r="A9" s="109" t="s">
        <v>1465</v>
      </c>
      <c r="B9" s="84" t="s">
        <v>1485</v>
      </c>
      <c r="C9" s="84" t="s">
        <v>56</v>
      </c>
      <c r="D9" s="110"/>
      <c r="E9" s="14"/>
      <c r="F9" s="15" t="s">
        <v>2019</v>
      </c>
      <c r="G9" s="64"/>
      <c r="H9" s="64"/>
      <c r="I9" s="65">
        <v>9</v>
      </c>
      <c r="J9" s="111"/>
      <c r="K9" s="49">
        <v>5</v>
      </c>
      <c r="L9" s="49">
        <v>8</v>
      </c>
      <c r="M9" s="49">
        <v>0</v>
      </c>
      <c r="N9" s="49">
        <v>8</v>
      </c>
      <c r="O9" s="49">
        <v>0</v>
      </c>
      <c r="P9" s="50">
        <v>0</v>
      </c>
      <c r="Q9" s="50">
        <v>0</v>
      </c>
      <c r="R9" s="49">
        <v>1</v>
      </c>
      <c r="S9" s="49">
        <v>0</v>
      </c>
      <c r="T9" s="49">
        <v>5</v>
      </c>
      <c r="U9" s="49">
        <v>8</v>
      </c>
      <c r="V9" s="49">
        <v>2</v>
      </c>
      <c r="W9" s="50">
        <v>0.96</v>
      </c>
      <c r="X9" s="50">
        <v>0.4</v>
      </c>
      <c r="Y9" s="49">
        <v>3</v>
      </c>
      <c r="Z9" s="50">
        <v>3.5714285714285716</v>
      </c>
      <c r="AA9" s="49">
        <v>0</v>
      </c>
      <c r="AB9" s="50">
        <v>0</v>
      </c>
      <c r="AC9" s="49">
        <v>0</v>
      </c>
      <c r="AD9" s="50">
        <v>0</v>
      </c>
      <c r="AE9" s="49">
        <v>81</v>
      </c>
      <c r="AF9" s="50">
        <v>96.42857142857143</v>
      </c>
      <c r="AG9" s="49">
        <v>84</v>
      </c>
      <c r="AH9" s="67"/>
      <c r="AI9" s="67"/>
      <c r="AJ9" s="67" t="s">
        <v>711</v>
      </c>
      <c r="AK9" s="76" t="s">
        <v>1785</v>
      </c>
      <c r="AL9" s="76" t="s">
        <v>1865</v>
      </c>
      <c r="AM9" s="67"/>
      <c r="AN9" s="67" t="s">
        <v>1883</v>
      </c>
      <c r="AO9" s="67" t="s">
        <v>1897</v>
      </c>
    </row>
    <row r="10" spans="1:41" ht="14.25" customHeight="1">
      <c r="A10" s="109" t="s">
        <v>1466</v>
      </c>
      <c r="B10" s="84" t="s">
        <v>1486</v>
      </c>
      <c r="C10" s="84" t="s">
        <v>56</v>
      </c>
      <c r="D10" s="110"/>
      <c r="E10" s="14"/>
      <c r="F10" s="15" t="s">
        <v>2020</v>
      </c>
      <c r="G10" s="64"/>
      <c r="H10" s="64"/>
      <c r="I10" s="65">
        <v>10</v>
      </c>
      <c r="J10" s="111"/>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10</v>
      </c>
      <c r="AF10" s="50">
        <v>100</v>
      </c>
      <c r="AG10" s="49">
        <v>10</v>
      </c>
      <c r="AH10" s="67" t="s">
        <v>1733</v>
      </c>
      <c r="AI10" s="67" t="s">
        <v>704</v>
      </c>
      <c r="AJ10" s="67" t="s">
        <v>716</v>
      </c>
      <c r="AK10" s="76" t="s">
        <v>282</v>
      </c>
      <c r="AL10" s="76" t="s">
        <v>282</v>
      </c>
      <c r="AM10" s="67"/>
      <c r="AN10" s="67" t="s">
        <v>1884</v>
      </c>
      <c r="AO10" s="67" t="s">
        <v>1898</v>
      </c>
    </row>
    <row r="11" spans="1:41" ht="15">
      <c r="A11" s="109" t="s">
        <v>1467</v>
      </c>
      <c r="B11" s="84" t="s">
        <v>1487</v>
      </c>
      <c r="C11" s="84" t="s">
        <v>56</v>
      </c>
      <c r="D11" s="110"/>
      <c r="E11" s="14"/>
      <c r="F11" s="15" t="s">
        <v>2021</v>
      </c>
      <c r="G11" s="64"/>
      <c r="H11" s="64"/>
      <c r="I11" s="65">
        <v>11</v>
      </c>
      <c r="J11" s="111"/>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2</v>
      </c>
      <c r="AB11" s="50">
        <v>2.7027027027027026</v>
      </c>
      <c r="AC11" s="49">
        <v>0</v>
      </c>
      <c r="AD11" s="50">
        <v>0</v>
      </c>
      <c r="AE11" s="49">
        <v>72</v>
      </c>
      <c r="AF11" s="50">
        <v>97.29729729729729</v>
      </c>
      <c r="AG11" s="49">
        <v>74</v>
      </c>
      <c r="AH11" s="67" t="s">
        <v>449</v>
      </c>
      <c r="AI11" s="67" t="s">
        <v>270</v>
      </c>
      <c r="AJ11" s="67" t="s">
        <v>271</v>
      </c>
      <c r="AK11" s="76" t="s">
        <v>480</v>
      </c>
      <c r="AL11" s="76" t="s">
        <v>499</v>
      </c>
      <c r="AM11" s="67"/>
      <c r="AN11" s="67" t="s">
        <v>261</v>
      </c>
      <c r="AO11" s="67" t="s">
        <v>519</v>
      </c>
    </row>
    <row r="12" spans="1:41" ht="15">
      <c r="A12" s="109" t="s">
        <v>1468</v>
      </c>
      <c r="B12" s="84" t="s">
        <v>1488</v>
      </c>
      <c r="C12" s="84" t="s">
        <v>56</v>
      </c>
      <c r="D12" s="110"/>
      <c r="E12" s="14"/>
      <c r="F12" s="15" t="s">
        <v>1468</v>
      </c>
      <c r="G12" s="64"/>
      <c r="H12" s="64"/>
      <c r="I12" s="65">
        <v>12</v>
      </c>
      <c r="J12" s="111"/>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35</v>
      </c>
      <c r="AF12" s="50">
        <v>100</v>
      </c>
      <c r="AG12" s="49">
        <v>35</v>
      </c>
      <c r="AH12" s="67"/>
      <c r="AI12" s="67"/>
      <c r="AJ12" s="67"/>
      <c r="AK12" s="76" t="s">
        <v>1786</v>
      </c>
      <c r="AL12" s="76" t="s">
        <v>282</v>
      </c>
      <c r="AM12" s="67" t="s">
        <v>653</v>
      </c>
      <c r="AN12" s="67" t="s">
        <v>652</v>
      </c>
      <c r="AO12" s="67" t="s">
        <v>1899</v>
      </c>
    </row>
    <row r="13" spans="1:41" ht="15">
      <c r="A13" s="109" t="s">
        <v>1469</v>
      </c>
      <c r="B13" s="84" t="s">
        <v>1489</v>
      </c>
      <c r="C13" s="84" t="s">
        <v>56</v>
      </c>
      <c r="D13" s="110"/>
      <c r="E13" s="14"/>
      <c r="F13" s="15" t="s">
        <v>1469</v>
      </c>
      <c r="G13" s="64"/>
      <c r="H13" s="64"/>
      <c r="I13" s="65">
        <v>13</v>
      </c>
      <c r="J13" s="111"/>
      <c r="K13" s="49">
        <v>3</v>
      </c>
      <c r="L13" s="49">
        <v>3</v>
      </c>
      <c r="M13" s="49">
        <v>0</v>
      </c>
      <c r="N13" s="49">
        <v>3</v>
      </c>
      <c r="O13" s="49">
        <v>0</v>
      </c>
      <c r="P13" s="50">
        <v>0</v>
      </c>
      <c r="Q13" s="50">
        <v>0</v>
      </c>
      <c r="R13" s="49">
        <v>1</v>
      </c>
      <c r="S13" s="49">
        <v>0</v>
      </c>
      <c r="T13" s="49">
        <v>3</v>
      </c>
      <c r="U13" s="49">
        <v>3</v>
      </c>
      <c r="V13" s="49">
        <v>1</v>
      </c>
      <c r="W13" s="50">
        <v>0.666667</v>
      </c>
      <c r="X13" s="50">
        <v>0.5</v>
      </c>
      <c r="Y13" s="49">
        <v>0</v>
      </c>
      <c r="Z13" s="50">
        <v>0</v>
      </c>
      <c r="AA13" s="49">
        <v>0</v>
      </c>
      <c r="AB13" s="50">
        <v>0</v>
      </c>
      <c r="AC13" s="49">
        <v>0</v>
      </c>
      <c r="AD13" s="50">
        <v>0</v>
      </c>
      <c r="AE13" s="49">
        <v>52</v>
      </c>
      <c r="AF13" s="50">
        <v>100</v>
      </c>
      <c r="AG13" s="49">
        <v>52</v>
      </c>
      <c r="AH13" s="67" t="s">
        <v>1710</v>
      </c>
      <c r="AI13" s="67" t="s">
        <v>269</v>
      </c>
      <c r="AJ13" s="67"/>
      <c r="AK13" s="76" t="s">
        <v>1787</v>
      </c>
      <c r="AL13" s="76" t="s">
        <v>1866</v>
      </c>
      <c r="AM13" s="67"/>
      <c r="AN13" s="67" t="s">
        <v>649</v>
      </c>
      <c r="AO13" s="67" t="s">
        <v>1900</v>
      </c>
    </row>
    <row r="14" spans="1:41" ht="15">
      <c r="A14" s="109" t="s">
        <v>1470</v>
      </c>
      <c r="B14" s="84" t="s">
        <v>1490</v>
      </c>
      <c r="C14" s="84" t="s">
        <v>56</v>
      </c>
      <c r="D14" s="110"/>
      <c r="E14" s="14"/>
      <c r="F14" s="15" t="s">
        <v>1470</v>
      </c>
      <c r="G14" s="64"/>
      <c r="H14" s="64"/>
      <c r="I14" s="65">
        <v>14</v>
      </c>
      <c r="J14" s="111"/>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105</v>
      </c>
      <c r="AF14" s="50">
        <v>100</v>
      </c>
      <c r="AG14" s="49">
        <v>105</v>
      </c>
      <c r="AH14" s="67" t="s">
        <v>1709</v>
      </c>
      <c r="AI14" s="67" t="s">
        <v>269</v>
      </c>
      <c r="AJ14" s="67"/>
      <c r="AK14" s="76" t="s">
        <v>1788</v>
      </c>
      <c r="AL14" s="76" t="s">
        <v>1867</v>
      </c>
      <c r="AM14" s="67"/>
      <c r="AN14" s="67"/>
      <c r="AO14" s="67" t="s">
        <v>1901</v>
      </c>
    </row>
    <row r="15" spans="1:41" ht="15">
      <c r="A15" s="109" t="s">
        <v>1471</v>
      </c>
      <c r="B15" s="84" t="s">
        <v>343</v>
      </c>
      <c r="C15" s="84" t="s">
        <v>59</v>
      </c>
      <c r="D15" s="110"/>
      <c r="E15" s="14"/>
      <c r="F15" s="15" t="s">
        <v>1471</v>
      </c>
      <c r="G15" s="64"/>
      <c r="H15" s="64"/>
      <c r="I15" s="65">
        <v>15</v>
      </c>
      <c r="J15" s="111"/>
      <c r="K15" s="49">
        <v>3</v>
      </c>
      <c r="L15" s="49">
        <v>3</v>
      </c>
      <c r="M15" s="49">
        <v>0</v>
      </c>
      <c r="N15" s="49">
        <v>3</v>
      </c>
      <c r="O15" s="49">
        <v>0</v>
      </c>
      <c r="P15" s="50">
        <v>0</v>
      </c>
      <c r="Q15" s="50">
        <v>0</v>
      </c>
      <c r="R15" s="49">
        <v>1</v>
      </c>
      <c r="S15" s="49">
        <v>0</v>
      </c>
      <c r="T15" s="49">
        <v>3</v>
      </c>
      <c r="U15" s="49">
        <v>3</v>
      </c>
      <c r="V15" s="49">
        <v>1</v>
      </c>
      <c r="W15" s="50">
        <v>0.666667</v>
      </c>
      <c r="X15" s="50">
        <v>0.5</v>
      </c>
      <c r="Y15" s="49">
        <v>2</v>
      </c>
      <c r="Z15" s="50">
        <v>2.380952380952381</v>
      </c>
      <c r="AA15" s="49">
        <v>0</v>
      </c>
      <c r="AB15" s="50">
        <v>0</v>
      </c>
      <c r="AC15" s="49">
        <v>0</v>
      </c>
      <c r="AD15" s="50">
        <v>0</v>
      </c>
      <c r="AE15" s="49">
        <v>82</v>
      </c>
      <c r="AF15" s="50">
        <v>97.61904761904762</v>
      </c>
      <c r="AG15" s="49">
        <v>84</v>
      </c>
      <c r="AH15" s="67" t="s">
        <v>1714</v>
      </c>
      <c r="AI15" s="67" t="s">
        <v>269</v>
      </c>
      <c r="AJ15" s="67"/>
      <c r="AK15" s="76" t="s">
        <v>1789</v>
      </c>
      <c r="AL15" s="76" t="s">
        <v>1868</v>
      </c>
      <c r="AM15" s="67"/>
      <c r="AN15" s="67" t="s">
        <v>638</v>
      </c>
      <c r="AO15" s="67" t="s">
        <v>1902</v>
      </c>
    </row>
    <row r="16" spans="1:41" ht="15">
      <c r="A16" s="109" t="s">
        <v>1472</v>
      </c>
      <c r="B16" s="84" t="s">
        <v>344</v>
      </c>
      <c r="C16" s="84" t="s">
        <v>59</v>
      </c>
      <c r="D16" s="110"/>
      <c r="E16" s="14"/>
      <c r="F16" s="15" t="s">
        <v>2022</v>
      </c>
      <c r="G16" s="64"/>
      <c r="H16" s="64"/>
      <c r="I16" s="65">
        <v>16</v>
      </c>
      <c r="J16" s="111"/>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3.225806451612903</v>
      </c>
      <c r="AC16" s="49">
        <v>0</v>
      </c>
      <c r="AD16" s="50">
        <v>0</v>
      </c>
      <c r="AE16" s="49">
        <v>30</v>
      </c>
      <c r="AF16" s="50">
        <v>96.7741935483871</v>
      </c>
      <c r="AG16" s="49">
        <v>31</v>
      </c>
      <c r="AH16" s="67" t="s">
        <v>1741</v>
      </c>
      <c r="AI16" s="67" t="s">
        <v>706</v>
      </c>
      <c r="AJ16" s="67" t="s">
        <v>720</v>
      </c>
      <c r="AK16" s="76" t="s">
        <v>282</v>
      </c>
      <c r="AL16" s="76" t="s">
        <v>282</v>
      </c>
      <c r="AM16" s="67"/>
      <c r="AN16" s="67" t="s">
        <v>651</v>
      </c>
      <c r="AO16" s="67" t="s">
        <v>1903</v>
      </c>
    </row>
    <row r="17" spans="1:41" ht="15">
      <c r="A17" s="109" t="s">
        <v>1473</v>
      </c>
      <c r="B17" s="84" t="s">
        <v>345</v>
      </c>
      <c r="C17" s="84" t="s">
        <v>59</v>
      </c>
      <c r="D17" s="110"/>
      <c r="E17" s="14"/>
      <c r="F17" s="15" t="s">
        <v>1473</v>
      </c>
      <c r="G17" s="64"/>
      <c r="H17" s="64"/>
      <c r="I17" s="65">
        <v>17</v>
      </c>
      <c r="J17" s="111"/>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2</v>
      </c>
      <c r="AB17" s="50">
        <v>2.7777777777777777</v>
      </c>
      <c r="AC17" s="49">
        <v>0</v>
      </c>
      <c r="AD17" s="50">
        <v>0</v>
      </c>
      <c r="AE17" s="49">
        <v>70</v>
      </c>
      <c r="AF17" s="50">
        <v>97.22222222222223</v>
      </c>
      <c r="AG17" s="49">
        <v>72</v>
      </c>
      <c r="AH17" s="67" t="s">
        <v>450</v>
      </c>
      <c r="AI17" s="67" t="s">
        <v>268</v>
      </c>
      <c r="AJ17" s="67"/>
      <c r="AK17" s="76" t="s">
        <v>481</v>
      </c>
      <c r="AL17" s="76" t="s">
        <v>500</v>
      </c>
      <c r="AM17" s="67"/>
      <c r="AN17" s="67"/>
      <c r="AO17" s="67" t="s">
        <v>520</v>
      </c>
    </row>
    <row r="18" spans="1:41" ht="15">
      <c r="A18" s="109" t="s">
        <v>1474</v>
      </c>
      <c r="B18" s="84" t="s">
        <v>1482</v>
      </c>
      <c r="C18" s="84" t="s">
        <v>59</v>
      </c>
      <c r="D18" s="110"/>
      <c r="E18" s="14"/>
      <c r="F18" s="15" t="s">
        <v>2023</v>
      </c>
      <c r="G18" s="64"/>
      <c r="H18" s="64"/>
      <c r="I18" s="65">
        <v>18</v>
      </c>
      <c r="J18" s="111"/>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45</v>
      </c>
      <c r="AF18" s="50">
        <v>100</v>
      </c>
      <c r="AG18" s="49">
        <v>45</v>
      </c>
      <c r="AH18" s="67"/>
      <c r="AI18" s="67"/>
      <c r="AJ18" s="67" t="s">
        <v>719</v>
      </c>
      <c r="AK18" s="76" t="s">
        <v>1790</v>
      </c>
      <c r="AL18" s="76" t="s">
        <v>282</v>
      </c>
      <c r="AM18" s="67"/>
      <c r="AN18" s="67" t="s">
        <v>650</v>
      </c>
      <c r="AO18" s="67" t="s">
        <v>1904</v>
      </c>
    </row>
    <row r="19" spans="1:41" ht="15">
      <c r="A19" s="109" t="s">
        <v>1475</v>
      </c>
      <c r="B19" s="84" t="s">
        <v>1483</v>
      </c>
      <c r="C19" s="84" t="s">
        <v>59</v>
      </c>
      <c r="D19" s="110"/>
      <c r="E19" s="14"/>
      <c r="F19" s="15" t="s">
        <v>1475</v>
      </c>
      <c r="G19" s="64"/>
      <c r="H19" s="64"/>
      <c r="I19" s="65">
        <v>19</v>
      </c>
      <c r="J19" s="111"/>
      <c r="K19" s="49">
        <v>2</v>
      </c>
      <c r="L19" s="49">
        <v>2</v>
      </c>
      <c r="M19" s="49">
        <v>0</v>
      </c>
      <c r="N19" s="49">
        <v>2</v>
      </c>
      <c r="O19" s="49">
        <v>1</v>
      </c>
      <c r="P19" s="50">
        <v>0</v>
      </c>
      <c r="Q19" s="50">
        <v>0</v>
      </c>
      <c r="R19" s="49">
        <v>1</v>
      </c>
      <c r="S19" s="49">
        <v>0</v>
      </c>
      <c r="T19" s="49">
        <v>2</v>
      </c>
      <c r="U19" s="49">
        <v>2</v>
      </c>
      <c r="V19" s="49">
        <v>1</v>
      </c>
      <c r="W19" s="50">
        <v>0.5</v>
      </c>
      <c r="X19" s="50">
        <v>0.5</v>
      </c>
      <c r="Y19" s="49">
        <v>4</v>
      </c>
      <c r="Z19" s="50">
        <v>6.25</v>
      </c>
      <c r="AA19" s="49">
        <v>0</v>
      </c>
      <c r="AB19" s="50">
        <v>0</v>
      </c>
      <c r="AC19" s="49">
        <v>0</v>
      </c>
      <c r="AD19" s="50">
        <v>0</v>
      </c>
      <c r="AE19" s="49">
        <v>60</v>
      </c>
      <c r="AF19" s="50">
        <v>93.75</v>
      </c>
      <c r="AG19" s="49">
        <v>64</v>
      </c>
      <c r="AH19" s="67" t="s">
        <v>1708</v>
      </c>
      <c r="AI19" s="67" t="s">
        <v>269</v>
      </c>
      <c r="AJ19" s="67"/>
      <c r="AK19" s="76" t="s">
        <v>1791</v>
      </c>
      <c r="AL19" s="76" t="s">
        <v>1869</v>
      </c>
      <c r="AM19" s="67"/>
      <c r="AN19" s="67"/>
      <c r="AO19" s="67" t="s">
        <v>1905</v>
      </c>
    </row>
    <row r="20" spans="1:41" ht="15">
      <c r="A20" s="109" t="s">
        <v>1476</v>
      </c>
      <c r="B20" s="84" t="s">
        <v>1484</v>
      </c>
      <c r="C20" s="84" t="s">
        <v>59</v>
      </c>
      <c r="D20" s="110"/>
      <c r="E20" s="14"/>
      <c r="F20" s="15" t="s">
        <v>1476</v>
      </c>
      <c r="G20" s="64"/>
      <c r="H20" s="64"/>
      <c r="I20" s="65">
        <v>20</v>
      </c>
      <c r="J20" s="111"/>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12</v>
      </c>
      <c r="AF20" s="50">
        <v>100</v>
      </c>
      <c r="AG20" s="49">
        <v>12</v>
      </c>
      <c r="AH20" s="67" t="s">
        <v>1742</v>
      </c>
      <c r="AI20" s="67" t="s">
        <v>705</v>
      </c>
      <c r="AJ20" s="67"/>
      <c r="AK20" s="76" t="s">
        <v>282</v>
      </c>
      <c r="AL20" s="76" t="s">
        <v>282</v>
      </c>
      <c r="AM20" s="67"/>
      <c r="AN20" s="67" t="s">
        <v>648</v>
      </c>
      <c r="AO20" s="67" t="s">
        <v>1906</v>
      </c>
    </row>
    <row r="21" spans="1:41" ht="15">
      <c r="A21" s="109" t="s">
        <v>1477</v>
      </c>
      <c r="B21" s="84" t="s">
        <v>1485</v>
      </c>
      <c r="C21" s="84" t="s">
        <v>59</v>
      </c>
      <c r="D21" s="110"/>
      <c r="E21" s="14"/>
      <c r="F21" s="15" t="s">
        <v>1477</v>
      </c>
      <c r="G21" s="64"/>
      <c r="H21" s="64"/>
      <c r="I21" s="65">
        <v>21</v>
      </c>
      <c r="J21" s="11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23</v>
      </c>
      <c r="AF21" s="50">
        <v>100</v>
      </c>
      <c r="AG21" s="49">
        <v>23</v>
      </c>
      <c r="AH21" s="67" t="s">
        <v>1743</v>
      </c>
      <c r="AI21" s="67" t="s">
        <v>702</v>
      </c>
      <c r="AJ21" s="67"/>
      <c r="AK21" s="76" t="s">
        <v>1665</v>
      </c>
      <c r="AL21" s="76" t="s">
        <v>282</v>
      </c>
      <c r="AM21" s="67"/>
      <c r="AN21" s="67" t="s">
        <v>644</v>
      </c>
      <c r="AO21" s="67" t="s">
        <v>1907</v>
      </c>
    </row>
    <row r="22" spans="1:41" ht="15">
      <c r="A22" s="109" t="s">
        <v>1478</v>
      </c>
      <c r="B22" s="84" t="s">
        <v>1486</v>
      </c>
      <c r="C22" s="84" t="s">
        <v>59</v>
      </c>
      <c r="D22" s="110"/>
      <c r="E22" s="14"/>
      <c r="F22" s="15" t="s">
        <v>1478</v>
      </c>
      <c r="G22" s="64"/>
      <c r="H22" s="64"/>
      <c r="I22" s="65">
        <v>22</v>
      </c>
      <c r="J22" s="111"/>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55</v>
      </c>
      <c r="AF22" s="50">
        <v>100</v>
      </c>
      <c r="AG22" s="49">
        <v>55</v>
      </c>
      <c r="AH22" s="67"/>
      <c r="AI22" s="67"/>
      <c r="AJ22" s="67"/>
      <c r="AK22" s="76" t="s">
        <v>1792</v>
      </c>
      <c r="AL22" s="76" t="s">
        <v>282</v>
      </c>
      <c r="AM22" s="67" t="s">
        <v>643</v>
      </c>
      <c r="AN22" s="67"/>
      <c r="AO22" s="67" t="s">
        <v>1908</v>
      </c>
    </row>
    <row r="23" spans="1:41" ht="15">
      <c r="A23" s="109" t="s">
        <v>1479</v>
      </c>
      <c r="B23" s="84" t="s">
        <v>1487</v>
      </c>
      <c r="C23" s="84" t="s">
        <v>59</v>
      </c>
      <c r="D23" s="110"/>
      <c r="E23" s="14"/>
      <c r="F23" s="15" t="s">
        <v>2024</v>
      </c>
      <c r="G23" s="64"/>
      <c r="H23" s="64"/>
      <c r="I23" s="65">
        <v>23</v>
      </c>
      <c r="J23" s="111"/>
      <c r="K23" s="49">
        <v>2</v>
      </c>
      <c r="L23" s="49">
        <v>2</v>
      </c>
      <c r="M23" s="49">
        <v>0</v>
      </c>
      <c r="N23" s="49">
        <v>2</v>
      </c>
      <c r="O23" s="49">
        <v>1</v>
      </c>
      <c r="P23" s="50">
        <v>0</v>
      </c>
      <c r="Q23" s="50">
        <v>0</v>
      </c>
      <c r="R23" s="49">
        <v>1</v>
      </c>
      <c r="S23" s="49">
        <v>0</v>
      </c>
      <c r="T23" s="49">
        <v>2</v>
      </c>
      <c r="U23" s="49">
        <v>2</v>
      </c>
      <c r="V23" s="49">
        <v>1</v>
      </c>
      <c r="W23" s="50">
        <v>0.5</v>
      </c>
      <c r="X23" s="50">
        <v>0.5</v>
      </c>
      <c r="Y23" s="49">
        <v>1</v>
      </c>
      <c r="Z23" s="50">
        <v>2.0833333333333335</v>
      </c>
      <c r="AA23" s="49">
        <v>1</v>
      </c>
      <c r="AB23" s="50">
        <v>2.0833333333333335</v>
      </c>
      <c r="AC23" s="49">
        <v>0</v>
      </c>
      <c r="AD23" s="50">
        <v>0</v>
      </c>
      <c r="AE23" s="49">
        <v>46</v>
      </c>
      <c r="AF23" s="50">
        <v>95.83333333333333</v>
      </c>
      <c r="AG23" s="49">
        <v>48</v>
      </c>
      <c r="AH23" s="67" t="s">
        <v>1712</v>
      </c>
      <c r="AI23" s="67" t="s">
        <v>269</v>
      </c>
      <c r="AJ23" s="67" t="s">
        <v>715</v>
      </c>
      <c r="AK23" s="76" t="s">
        <v>1793</v>
      </c>
      <c r="AL23" s="76" t="s">
        <v>282</v>
      </c>
      <c r="AM23" s="67"/>
      <c r="AN23" s="67" t="s">
        <v>586</v>
      </c>
      <c r="AO23" s="67" t="s">
        <v>1909</v>
      </c>
    </row>
    <row r="24" spans="1:41" ht="15">
      <c r="A24" s="109" t="s">
        <v>1480</v>
      </c>
      <c r="B24" s="84" t="s">
        <v>1488</v>
      </c>
      <c r="C24" s="84" t="s">
        <v>59</v>
      </c>
      <c r="D24" s="110"/>
      <c r="E24" s="14"/>
      <c r="F24" s="15" t="s">
        <v>1480</v>
      </c>
      <c r="G24" s="64"/>
      <c r="H24" s="64"/>
      <c r="I24" s="65">
        <v>24</v>
      </c>
      <c r="J24" s="111"/>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3.7037037037037037</v>
      </c>
      <c r="AC24" s="49">
        <v>0</v>
      </c>
      <c r="AD24" s="50">
        <v>0</v>
      </c>
      <c r="AE24" s="49">
        <v>26</v>
      </c>
      <c r="AF24" s="50">
        <v>96.29629629629629</v>
      </c>
      <c r="AG24" s="49">
        <v>27</v>
      </c>
      <c r="AH24" s="67" t="s">
        <v>1744</v>
      </c>
      <c r="AI24" s="67" t="s">
        <v>702</v>
      </c>
      <c r="AJ24" s="67"/>
      <c r="AK24" s="76" t="s">
        <v>1551</v>
      </c>
      <c r="AL24" s="76" t="s">
        <v>282</v>
      </c>
      <c r="AM24" s="67"/>
      <c r="AN24" s="67" t="s">
        <v>639</v>
      </c>
      <c r="AO24" s="67" t="s">
        <v>1910</v>
      </c>
    </row>
    <row r="25" spans="1:41" ht="15">
      <c r="A25" s="109" t="s">
        <v>1481</v>
      </c>
      <c r="B25" s="84" t="s">
        <v>1489</v>
      </c>
      <c r="C25" s="84" t="s">
        <v>59</v>
      </c>
      <c r="D25" s="77"/>
      <c r="E25" s="77"/>
      <c r="F25" s="78" t="s">
        <v>1481</v>
      </c>
      <c r="G25" s="79"/>
      <c r="H25" s="79"/>
      <c r="I25" s="80">
        <v>25</v>
      </c>
      <c r="J25" s="80"/>
      <c r="K25" s="49">
        <v>2</v>
      </c>
      <c r="L25" s="49">
        <v>2</v>
      </c>
      <c r="M25" s="49">
        <v>0</v>
      </c>
      <c r="N25" s="49">
        <v>2</v>
      </c>
      <c r="O25" s="49">
        <v>1</v>
      </c>
      <c r="P25" s="50">
        <v>0</v>
      </c>
      <c r="Q25" s="50">
        <v>0</v>
      </c>
      <c r="R25" s="49">
        <v>1</v>
      </c>
      <c r="S25" s="49">
        <v>0</v>
      </c>
      <c r="T25" s="49">
        <v>2</v>
      </c>
      <c r="U25" s="49">
        <v>2</v>
      </c>
      <c r="V25" s="49">
        <v>1</v>
      </c>
      <c r="W25" s="50">
        <v>0.5</v>
      </c>
      <c r="X25" s="50">
        <v>0.5</v>
      </c>
      <c r="Y25" s="49">
        <v>4</v>
      </c>
      <c r="Z25" s="50">
        <v>4.878048780487805</v>
      </c>
      <c r="AA25" s="49">
        <v>0</v>
      </c>
      <c r="AB25" s="50">
        <v>0</v>
      </c>
      <c r="AC25" s="49">
        <v>0</v>
      </c>
      <c r="AD25" s="50">
        <v>0</v>
      </c>
      <c r="AE25" s="49">
        <v>78</v>
      </c>
      <c r="AF25" s="50">
        <v>95.1219512195122</v>
      </c>
      <c r="AG25" s="49">
        <v>82</v>
      </c>
      <c r="AH25" s="67" t="s">
        <v>1715</v>
      </c>
      <c r="AI25" s="67" t="s">
        <v>699</v>
      </c>
      <c r="AJ25" s="67"/>
      <c r="AK25" s="76" t="s">
        <v>1794</v>
      </c>
      <c r="AL25" s="76" t="s">
        <v>1870</v>
      </c>
      <c r="AM25" s="67"/>
      <c r="AN25" s="67"/>
      <c r="AO25" s="67" t="s">
        <v>1911</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67" t="s">
        <v>340</v>
      </c>
      <c r="B2" s="76" t="s">
        <v>630</v>
      </c>
      <c r="C2" s="67">
        <f>VLOOKUP(GroupVertices[[#This Row],[Vertex]],Vertices[],MATCH("ID",Vertices[[#Headers],[Vertex]:[Top Word Pairs in Tweet by Salience]],0),FALSE)</f>
        <v>108</v>
      </c>
    </row>
    <row r="3" spans="1:3" ht="15">
      <c r="A3" s="68" t="s">
        <v>340</v>
      </c>
      <c r="B3" s="76" t="s">
        <v>629</v>
      </c>
      <c r="C3" s="67">
        <f>VLOOKUP(GroupVertices[[#This Row],[Vertex]],Vertices[],MATCH("ID",Vertices[[#Headers],[Vertex]:[Top Word Pairs in Tweet by Salience]],0),FALSE)</f>
        <v>41</v>
      </c>
    </row>
    <row r="4" spans="1:3" ht="15">
      <c r="A4" s="68" t="s">
        <v>340</v>
      </c>
      <c r="B4" s="76" t="s">
        <v>622</v>
      </c>
      <c r="C4" s="67">
        <f>VLOOKUP(GroupVertices[[#This Row],[Vertex]],Vertices[],MATCH("ID",Vertices[[#Headers],[Vertex]:[Top Word Pairs in Tweet by Salience]],0),FALSE)</f>
        <v>97</v>
      </c>
    </row>
    <row r="5" spans="1:3" ht="15">
      <c r="A5" s="68" t="s">
        <v>340</v>
      </c>
      <c r="B5" s="76" t="s">
        <v>616</v>
      </c>
      <c r="C5" s="67">
        <f>VLOOKUP(GroupVertices[[#This Row],[Vertex]],Vertices[],MATCH("ID",Vertices[[#Headers],[Vertex]:[Top Word Pairs in Tweet by Salience]],0),FALSE)</f>
        <v>91</v>
      </c>
    </row>
    <row r="6" spans="1:3" ht="15">
      <c r="A6" s="68" t="s">
        <v>340</v>
      </c>
      <c r="B6" s="76" t="s">
        <v>612</v>
      </c>
      <c r="C6" s="67">
        <f>VLOOKUP(GroupVertices[[#This Row],[Vertex]],Vertices[],MATCH("ID",Vertices[[#Headers],[Vertex]:[Top Word Pairs in Tweet by Salience]],0),FALSE)</f>
        <v>87</v>
      </c>
    </row>
    <row r="7" spans="1:3" ht="15">
      <c r="A7" s="68" t="s">
        <v>340</v>
      </c>
      <c r="B7" s="76" t="s">
        <v>608</v>
      </c>
      <c r="C7" s="67">
        <f>VLOOKUP(GroupVertices[[#This Row],[Vertex]],Vertices[],MATCH("ID",Vertices[[#Headers],[Vertex]:[Top Word Pairs in Tweet by Salience]],0),FALSE)</f>
        <v>78</v>
      </c>
    </row>
    <row r="8" spans="1:3" ht="15">
      <c r="A8" s="68" t="s">
        <v>340</v>
      </c>
      <c r="B8" s="76" t="s">
        <v>605</v>
      </c>
      <c r="C8" s="67">
        <f>VLOOKUP(GroupVertices[[#This Row],[Vertex]],Vertices[],MATCH("ID",Vertices[[#Headers],[Vertex]:[Top Word Pairs in Tweet by Salience]],0),FALSE)</f>
        <v>75</v>
      </c>
    </row>
    <row r="9" spans="1:3" ht="15">
      <c r="A9" s="68" t="s">
        <v>340</v>
      </c>
      <c r="B9" s="76" t="s">
        <v>600</v>
      </c>
      <c r="C9" s="67">
        <f>VLOOKUP(GroupVertices[[#This Row],[Vertex]],Vertices[],MATCH("ID",Vertices[[#Headers],[Vertex]:[Top Word Pairs in Tweet by Salience]],0),FALSE)</f>
        <v>71</v>
      </c>
    </row>
    <row r="10" spans="1:3" ht="15">
      <c r="A10" s="68" t="s">
        <v>340</v>
      </c>
      <c r="B10" s="76" t="s">
        <v>599</v>
      </c>
      <c r="C10" s="67">
        <f>VLOOKUP(GroupVertices[[#This Row],[Vertex]],Vertices[],MATCH("ID",Vertices[[#Headers],[Vertex]:[Top Word Pairs in Tweet by Salience]],0),FALSE)</f>
        <v>70</v>
      </c>
    </row>
    <row r="11" spans="1:3" ht="15">
      <c r="A11" s="68" t="s">
        <v>340</v>
      </c>
      <c r="B11" s="76" t="s">
        <v>598</v>
      </c>
      <c r="C11" s="67">
        <f>VLOOKUP(GroupVertices[[#This Row],[Vertex]],Vertices[],MATCH("ID",Vertices[[#Headers],[Vertex]:[Top Word Pairs in Tweet by Salience]],0),FALSE)</f>
        <v>69</v>
      </c>
    </row>
    <row r="12" spans="1:3" ht="15">
      <c r="A12" s="68" t="s">
        <v>340</v>
      </c>
      <c r="B12" s="76" t="s">
        <v>597</v>
      </c>
      <c r="C12" s="67">
        <f>VLOOKUP(GroupVertices[[#This Row],[Vertex]],Vertices[],MATCH("ID",Vertices[[#Headers],[Vertex]:[Top Word Pairs in Tweet by Salience]],0),FALSE)</f>
        <v>68</v>
      </c>
    </row>
    <row r="13" spans="1:3" ht="15">
      <c r="A13" s="68" t="s">
        <v>340</v>
      </c>
      <c r="B13" s="76" t="s">
        <v>596</v>
      </c>
      <c r="C13" s="67">
        <f>VLOOKUP(GroupVertices[[#This Row],[Vertex]],Vertices[],MATCH("ID",Vertices[[#Headers],[Vertex]:[Top Word Pairs in Tweet by Salience]],0),FALSE)</f>
        <v>67</v>
      </c>
    </row>
    <row r="14" spans="1:3" ht="15">
      <c r="A14" s="68" t="s">
        <v>340</v>
      </c>
      <c r="B14" s="76" t="s">
        <v>595</v>
      </c>
      <c r="C14" s="67">
        <f>VLOOKUP(GroupVertices[[#This Row],[Vertex]],Vertices[],MATCH("ID",Vertices[[#Headers],[Vertex]:[Top Word Pairs in Tweet by Salience]],0),FALSE)</f>
        <v>66</v>
      </c>
    </row>
    <row r="15" spans="1:3" ht="15">
      <c r="A15" s="68" t="s">
        <v>340</v>
      </c>
      <c r="B15" s="76" t="s">
        <v>594</v>
      </c>
      <c r="C15" s="67">
        <f>VLOOKUP(GroupVertices[[#This Row],[Vertex]],Vertices[],MATCH("ID",Vertices[[#Headers],[Vertex]:[Top Word Pairs in Tweet by Salience]],0),FALSE)</f>
        <v>65</v>
      </c>
    </row>
    <row r="16" spans="1:3" ht="15">
      <c r="A16" s="68" t="s">
        <v>340</v>
      </c>
      <c r="B16" s="76" t="s">
        <v>593</v>
      </c>
      <c r="C16" s="67">
        <f>VLOOKUP(GroupVertices[[#This Row],[Vertex]],Vertices[],MATCH("ID",Vertices[[#Headers],[Vertex]:[Top Word Pairs in Tweet by Salience]],0),FALSE)</f>
        <v>64</v>
      </c>
    </row>
    <row r="17" spans="1:3" ht="15">
      <c r="A17" s="68" t="s">
        <v>340</v>
      </c>
      <c r="B17" s="76" t="s">
        <v>585</v>
      </c>
      <c r="C17" s="67">
        <f>VLOOKUP(GroupVertices[[#This Row],[Vertex]],Vertices[],MATCH("ID",Vertices[[#Headers],[Vertex]:[Top Word Pairs in Tweet by Salience]],0),FALSE)</f>
        <v>55</v>
      </c>
    </row>
    <row r="18" spans="1:3" ht="15">
      <c r="A18" s="68" t="s">
        <v>340</v>
      </c>
      <c r="B18" s="76" t="s">
        <v>580</v>
      </c>
      <c r="C18" s="67">
        <f>VLOOKUP(GroupVertices[[#This Row],[Vertex]],Vertices[],MATCH("ID",Vertices[[#Headers],[Vertex]:[Top Word Pairs in Tweet by Salience]],0),FALSE)</f>
        <v>50</v>
      </c>
    </row>
    <row r="19" spans="1:3" ht="15">
      <c r="A19" s="68" t="s">
        <v>340</v>
      </c>
      <c r="B19" s="76" t="s">
        <v>578</v>
      </c>
      <c r="C19" s="67">
        <f>VLOOKUP(GroupVertices[[#This Row],[Vertex]],Vertices[],MATCH("ID",Vertices[[#Headers],[Vertex]:[Top Word Pairs in Tweet by Salience]],0),FALSE)</f>
        <v>47</v>
      </c>
    </row>
    <row r="20" spans="1:3" ht="15">
      <c r="A20" s="68" t="s">
        <v>340</v>
      </c>
      <c r="B20" s="76" t="s">
        <v>577</v>
      </c>
      <c r="C20" s="67">
        <f>VLOOKUP(GroupVertices[[#This Row],[Vertex]],Vertices[],MATCH("ID",Vertices[[#Headers],[Vertex]:[Top Word Pairs in Tweet by Salience]],0),FALSE)</f>
        <v>46</v>
      </c>
    </row>
    <row r="21" spans="1:3" ht="15">
      <c r="A21" s="68" t="s">
        <v>340</v>
      </c>
      <c r="B21" s="76" t="s">
        <v>576</v>
      </c>
      <c r="C21" s="67">
        <f>VLOOKUP(GroupVertices[[#This Row],[Vertex]],Vertices[],MATCH("ID",Vertices[[#Headers],[Vertex]:[Top Word Pairs in Tweet by Salience]],0),FALSE)</f>
        <v>45</v>
      </c>
    </row>
    <row r="22" spans="1:3" ht="15">
      <c r="A22" s="68" t="s">
        <v>340</v>
      </c>
      <c r="B22" s="76" t="s">
        <v>575</v>
      </c>
      <c r="C22" s="67">
        <f>VLOOKUP(GroupVertices[[#This Row],[Vertex]],Vertices[],MATCH("ID",Vertices[[#Headers],[Vertex]:[Top Word Pairs in Tweet by Salience]],0),FALSE)</f>
        <v>44</v>
      </c>
    </row>
    <row r="23" spans="1:3" ht="15">
      <c r="A23" s="68" t="s">
        <v>340</v>
      </c>
      <c r="B23" s="76" t="s">
        <v>574</v>
      </c>
      <c r="C23" s="67">
        <f>VLOOKUP(GroupVertices[[#This Row],[Vertex]],Vertices[],MATCH("ID",Vertices[[#Headers],[Vertex]:[Top Word Pairs in Tweet by Salience]],0),FALSE)</f>
        <v>43</v>
      </c>
    </row>
    <row r="24" spans="1:3" ht="15">
      <c r="A24" s="68" t="s">
        <v>340</v>
      </c>
      <c r="B24" s="76" t="s">
        <v>573</v>
      </c>
      <c r="C24" s="67">
        <f>VLOOKUP(GroupVertices[[#This Row],[Vertex]],Vertices[],MATCH("ID",Vertices[[#Headers],[Vertex]:[Top Word Pairs in Tweet by Salience]],0),FALSE)</f>
        <v>42</v>
      </c>
    </row>
    <row r="25" spans="1:3" ht="15">
      <c r="A25" s="68" t="s">
        <v>340</v>
      </c>
      <c r="B25" s="76" t="s">
        <v>572</v>
      </c>
      <c r="C25" s="67">
        <f>VLOOKUP(GroupVertices[[#This Row],[Vertex]],Vertices[],MATCH("ID",Vertices[[#Headers],[Vertex]:[Top Word Pairs in Tweet by Salience]],0),FALSE)</f>
        <v>40</v>
      </c>
    </row>
    <row r="26" spans="1:3" ht="15">
      <c r="A26" s="68" t="s">
        <v>341</v>
      </c>
      <c r="B26" s="76" t="s">
        <v>637</v>
      </c>
      <c r="C26" s="67">
        <f>VLOOKUP(GroupVertices[[#This Row],[Vertex]],Vertices[],MATCH("ID",Vertices[[#Headers],[Vertex]:[Top Word Pairs in Tweet by Salience]],0),FALSE)</f>
        <v>3</v>
      </c>
    </row>
    <row r="27" spans="1:3" ht="15">
      <c r="A27" s="68" t="s">
        <v>341</v>
      </c>
      <c r="B27" s="76" t="s">
        <v>546</v>
      </c>
      <c r="C27" s="67">
        <f>VLOOKUP(GroupVertices[[#This Row],[Vertex]],Vertices[],MATCH("ID",Vertices[[#Headers],[Vertex]:[Top Word Pairs in Tweet by Salience]],0),FALSE)</f>
        <v>9</v>
      </c>
    </row>
    <row r="28" spans="1:3" ht="15">
      <c r="A28" s="68" t="s">
        <v>341</v>
      </c>
      <c r="B28" s="76" t="s">
        <v>547</v>
      </c>
      <c r="C28" s="67">
        <f>VLOOKUP(GroupVertices[[#This Row],[Vertex]],Vertices[],MATCH("ID",Vertices[[#Headers],[Vertex]:[Top Word Pairs in Tweet by Salience]],0),FALSE)</f>
        <v>10</v>
      </c>
    </row>
    <row r="29" spans="1:3" ht="15">
      <c r="A29" s="68" t="s">
        <v>341</v>
      </c>
      <c r="B29" s="76" t="s">
        <v>548</v>
      </c>
      <c r="C29" s="67">
        <f>VLOOKUP(GroupVertices[[#This Row],[Vertex]],Vertices[],MATCH("ID",Vertices[[#Headers],[Vertex]:[Top Word Pairs in Tweet by Salience]],0),FALSE)</f>
        <v>11</v>
      </c>
    </row>
    <row r="30" spans="1:3" ht="15">
      <c r="A30" s="68" t="s">
        <v>341</v>
      </c>
      <c r="B30" s="76" t="s">
        <v>550</v>
      </c>
      <c r="C30" s="67">
        <f>VLOOKUP(GroupVertices[[#This Row],[Vertex]],Vertices[],MATCH("ID",Vertices[[#Headers],[Vertex]:[Top Word Pairs in Tweet by Salience]],0),FALSE)</f>
        <v>14</v>
      </c>
    </row>
    <row r="31" spans="1:3" ht="15">
      <c r="A31" s="68" t="s">
        <v>341</v>
      </c>
      <c r="B31" s="76" t="s">
        <v>551</v>
      </c>
      <c r="C31" s="67">
        <f>VLOOKUP(GroupVertices[[#This Row],[Vertex]],Vertices[],MATCH("ID",Vertices[[#Headers],[Vertex]:[Top Word Pairs in Tweet by Salience]],0),FALSE)</f>
        <v>15</v>
      </c>
    </row>
    <row r="32" spans="1:3" ht="15">
      <c r="A32" s="68" t="s">
        <v>341</v>
      </c>
      <c r="B32" s="76" t="s">
        <v>552</v>
      </c>
      <c r="C32" s="67">
        <f>VLOOKUP(GroupVertices[[#This Row],[Vertex]],Vertices[],MATCH("ID",Vertices[[#Headers],[Vertex]:[Top Word Pairs in Tweet by Salience]],0),FALSE)</f>
        <v>16</v>
      </c>
    </row>
    <row r="33" spans="1:3" ht="15">
      <c r="A33" s="68" t="s">
        <v>341</v>
      </c>
      <c r="B33" s="76" t="s">
        <v>553</v>
      </c>
      <c r="C33" s="67">
        <f>VLOOKUP(GroupVertices[[#This Row],[Vertex]],Vertices[],MATCH("ID",Vertices[[#Headers],[Vertex]:[Top Word Pairs in Tweet by Salience]],0),FALSE)</f>
        <v>17</v>
      </c>
    </row>
    <row r="34" spans="1:3" ht="15">
      <c r="A34" s="68" t="s">
        <v>341</v>
      </c>
      <c r="B34" s="76" t="s">
        <v>563</v>
      </c>
      <c r="C34" s="67">
        <f>VLOOKUP(GroupVertices[[#This Row],[Vertex]],Vertices[],MATCH("ID",Vertices[[#Headers],[Vertex]:[Top Word Pairs in Tweet by Salience]],0),FALSE)</f>
        <v>29</v>
      </c>
    </row>
    <row r="35" spans="1:3" ht="15">
      <c r="A35" s="68" t="s">
        <v>341</v>
      </c>
      <c r="B35" s="76" t="s">
        <v>601</v>
      </c>
      <c r="C35" s="67">
        <f>VLOOKUP(GroupVertices[[#This Row],[Vertex]],Vertices[],MATCH("ID",Vertices[[#Headers],[Vertex]:[Top Word Pairs in Tweet by Salience]],0),FALSE)</f>
        <v>72</v>
      </c>
    </row>
    <row r="36" spans="1:3" ht="15">
      <c r="A36" s="68" t="s">
        <v>341</v>
      </c>
      <c r="B36" s="76" t="s">
        <v>602</v>
      </c>
      <c r="C36" s="67">
        <f>VLOOKUP(GroupVertices[[#This Row],[Vertex]],Vertices[],MATCH("ID",Vertices[[#Headers],[Vertex]:[Top Word Pairs in Tweet by Salience]],0),FALSE)</f>
        <v>73</v>
      </c>
    </row>
    <row r="37" spans="1:3" ht="15">
      <c r="A37" s="68" t="s">
        <v>341</v>
      </c>
      <c r="B37" s="76" t="s">
        <v>606</v>
      </c>
      <c r="C37" s="67">
        <f>VLOOKUP(GroupVertices[[#This Row],[Vertex]],Vertices[],MATCH("ID",Vertices[[#Headers],[Vertex]:[Top Word Pairs in Tweet by Salience]],0),FALSE)</f>
        <v>76</v>
      </c>
    </row>
    <row r="38" spans="1:3" ht="15">
      <c r="A38" s="68" t="s">
        <v>341</v>
      </c>
      <c r="B38" s="76" t="s">
        <v>607</v>
      </c>
      <c r="C38" s="67">
        <f>VLOOKUP(GroupVertices[[#This Row],[Vertex]],Vertices[],MATCH("ID",Vertices[[#Headers],[Vertex]:[Top Word Pairs in Tweet by Salience]],0),FALSE)</f>
        <v>77</v>
      </c>
    </row>
    <row r="39" spans="1:3" ht="15">
      <c r="A39" s="68" t="s">
        <v>341</v>
      </c>
      <c r="B39" s="76" t="s">
        <v>613</v>
      </c>
      <c r="C39" s="67">
        <f>VLOOKUP(GroupVertices[[#This Row],[Vertex]],Vertices[],MATCH("ID",Vertices[[#Headers],[Vertex]:[Top Word Pairs in Tweet by Salience]],0),FALSE)</f>
        <v>88</v>
      </c>
    </row>
    <row r="40" spans="1:3" ht="15">
      <c r="A40" s="68" t="s">
        <v>341</v>
      </c>
      <c r="B40" s="76" t="s">
        <v>257</v>
      </c>
      <c r="C40" s="67">
        <f>VLOOKUP(GroupVertices[[#This Row],[Vertex]],Vertices[],MATCH("ID",Vertices[[#Headers],[Vertex]:[Top Word Pairs in Tweet by Salience]],0),FALSE)</f>
        <v>109</v>
      </c>
    </row>
    <row r="41" spans="1:3" ht="15">
      <c r="A41" s="68" t="s">
        <v>341</v>
      </c>
      <c r="B41" s="76" t="s">
        <v>632</v>
      </c>
      <c r="C41" s="67">
        <f>VLOOKUP(GroupVertices[[#This Row],[Vertex]],Vertices[],MATCH("ID",Vertices[[#Headers],[Vertex]:[Top Word Pairs in Tweet by Salience]],0),FALSE)</f>
        <v>113</v>
      </c>
    </row>
    <row r="42" spans="1:3" ht="15">
      <c r="A42" s="68" t="s">
        <v>341</v>
      </c>
      <c r="B42" s="76" t="s">
        <v>633</v>
      </c>
      <c r="C42" s="67">
        <f>VLOOKUP(GroupVertices[[#This Row],[Vertex]],Vertices[],MATCH("ID",Vertices[[#Headers],[Vertex]:[Top Word Pairs in Tweet by Salience]],0),FALSE)</f>
        <v>117</v>
      </c>
    </row>
    <row r="43" spans="1:3" ht="15">
      <c r="A43" s="68" t="s">
        <v>341</v>
      </c>
      <c r="B43" s="76" t="s">
        <v>634</v>
      </c>
      <c r="C43" s="67">
        <f>VLOOKUP(GroupVertices[[#This Row],[Vertex]],Vertices[],MATCH("ID",Vertices[[#Headers],[Vertex]:[Top Word Pairs in Tweet by Salience]],0),FALSE)</f>
        <v>118</v>
      </c>
    </row>
    <row r="44" spans="1:3" ht="15">
      <c r="A44" s="68" t="s">
        <v>341</v>
      </c>
      <c r="B44" s="76" t="s">
        <v>635</v>
      </c>
      <c r="C44" s="67">
        <f>VLOOKUP(GroupVertices[[#This Row],[Vertex]],Vertices[],MATCH("ID",Vertices[[#Headers],[Vertex]:[Top Word Pairs in Tweet by Salience]],0),FALSE)</f>
        <v>119</v>
      </c>
    </row>
    <row r="45" spans="1:3" ht="15">
      <c r="A45" s="68" t="s">
        <v>341</v>
      </c>
      <c r="B45" s="76" t="s">
        <v>636</v>
      </c>
      <c r="C45" s="67">
        <f>VLOOKUP(GroupVertices[[#This Row],[Vertex]],Vertices[],MATCH("ID",Vertices[[#Headers],[Vertex]:[Top Word Pairs in Tweet by Salience]],0),FALSE)</f>
        <v>120</v>
      </c>
    </row>
    <row r="46" spans="1:3" ht="15">
      <c r="A46" s="68" t="s">
        <v>342</v>
      </c>
      <c r="B46" s="76" t="s">
        <v>626</v>
      </c>
      <c r="C46" s="67">
        <f>VLOOKUP(GroupVertices[[#This Row],[Vertex]],Vertices[],MATCH("ID",Vertices[[#Headers],[Vertex]:[Top Word Pairs in Tweet by Salience]],0),FALSE)</f>
        <v>101</v>
      </c>
    </row>
    <row r="47" spans="1:3" ht="15">
      <c r="A47" s="68" t="s">
        <v>342</v>
      </c>
      <c r="B47" s="76" t="s">
        <v>625</v>
      </c>
      <c r="C47" s="67">
        <f>VLOOKUP(GroupVertices[[#This Row],[Vertex]],Vertices[],MATCH("ID",Vertices[[#Headers],[Vertex]:[Top Word Pairs in Tweet by Salience]],0),FALSE)</f>
        <v>49</v>
      </c>
    </row>
    <row r="48" spans="1:3" ht="15">
      <c r="A48" s="68" t="s">
        <v>342</v>
      </c>
      <c r="B48" s="76" t="s">
        <v>615</v>
      </c>
      <c r="C48" s="67">
        <f>VLOOKUP(GroupVertices[[#This Row],[Vertex]],Vertices[],MATCH("ID",Vertices[[#Headers],[Vertex]:[Top Word Pairs in Tweet by Salience]],0),FALSE)</f>
        <v>90</v>
      </c>
    </row>
    <row r="49" spans="1:3" ht="15">
      <c r="A49" s="68" t="s">
        <v>342</v>
      </c>
      <c r="B49" s="76" t="s">
        <v>614</v>
      </c>
      <c r="C49" s="67">
        <f>VLOOKUP(GroupVertices[[#This Row],[Vertex]],Vertices[],MATCH("ID",Vertices[[#Headers],[Vertex]:[Top Word Pairs in Tweet by Salience]],0),FALSE)</f>
        <v>89</v>
      </c>
    </row>
    <row r="50" spans="1:3" ht="15">
      <c r="A50" s="68" t="s">
        <v>342</v>
      </c>
      <c r="B50" s="76" t="s">
        <v>592</v>
      </c>
      <c r="C50" s="67">
        <f>VLOOKUP(GroupVertices[[#This Row],[Vertex]],Vertices[],MATCH("ID",Vertices[[#Headers],[Vertex]:[Top Word Pairs in Tweet by Salience]],0),FALSE)</f>
        <v>63</v>
      </c>
    </row>
    <row r="51" spans="1:3" ht="15">
      <c r="A51" s="68" t="s">
        <v>342</v>
      </c>
      <c r="B51" s="76" t="s">
        <v>591</v>
      </c>
      <c r="C51" s="67">
        <f>VLOOKUP(GroupVertices[[#This Row],[Vertex]],Vertices[],MATCH("ID",Vertices[[#Headers],[Vertex]:[Top Word Pairs in Tweet by Salience]],0),FALSE)</f>
        <v>62</v>
      </c>
    </row>
    <row r="52" spans="1:3" ht="15">
      <c r="A52" s="68" t="s">
        <v>342</v>
      </c>
      <c r="B52" s="76" t="s">
        <v>589</v>
      </c>
      <c r="C52" s="67">
        <f>VLOOKUP(GroupVertices[[#This Row],[Vertex]],Vertices[],MATCH("ID",Vertices[[#Headers],[Vertex]:[Top Word Pairs in Tweet by Salience]],0),FALSE)</f>
        <v>59</v>
      </c>
    </row>
    <row r="53" spans="1:3" ht="15">
      <c r="A53" s="68" t="s">
        <v>342</v>
      </c>
      <c r="B53" s="76" t="s">
        <v>588</v>
      </c>
      <c r="C53" s="67">
        <f>VLOOKUP(GroupVertices[[#This Row],[Vertex]],Vertices[],MATCH("ID",Vertices[[#Headers],[Vertex]:[Top Word Pairs in Tweet by Salience]],0),FALSE)</f>
        <v>58</v>
      </c>
    </row>
    <row r="54" spans="1:3" ht="15">
      <c r="A54" s="68" t="s">
        <v>342</v>
      </c>
      <c r="B54" s="76" t="s">
        <v>584</v>
      </c>
      <c r="C54" s="67">
        <f>VLOOKUP(GroupVertices[[#This Row],[Vertex]],Vertices[],MATCH("ID",Vertices[[#Headers],[Vertex]:[Top Word Pairs in Tweet by Salience]],0),FALSE)</f>
        <v>54</v>
      </c>
    </row>
    <row r="55" spans="1:3" ht="15">
      <c r="A55" s="68" t="s">
        <v>342</v>
      </c>
      <c r="B55" s="76" t="s">
        <v>583</v>
      </c>
      <c r="C55" s="67">
        <f>VLOOKUP(GroupVertices[[#This Row],[Vertex]],Vertices[],MATCH("ID",Vertices[[#Headers],[Vertex]:[Top Word Pairs in Tweet by Salience]],0),FALSE)</f>
        <v>53</v>
      </c>
    </row>
    <row r="56" spans="1:3" ht="15">
      <c r="A56" s="68" t="s">
        <v>342</v>
      </c>
      <c r="B56" s="76" t="s">
        <v>582</v>
      </c>
      <c r="C56" s="67">
        <f>VLOOKUP(GroupVertices[[#This Row],[Vertex]],Vertices[],MATCH("ID",Vertices[[#Headers],[Vertex]:[Top Word Pairs in Tweet by Salience]],0),FALSE)</f>
        <v>52</v>
      </c>
    </row>
    <row r="57" spans="1:3" ht="15">
      <c r="A57" s="68" t="s">
        <v>342</v>
      </c>
      <c r="B57" s="76" t="s">
        <v>581</v>
      </c>
      <c r="C57" s="67">
        <f>VLOOKUP(GroupVertices[[#This Row],[Vertex]],Vertices[],MATCH("ID",Vertices[[#Headers],[Vertex]:[Top Word Pairs in Tweet by Salience]],0),FALSE)</f>
        <v>51</v>
      </c>
    </row>
    <row r="58" spans="1:3" ht="15">
      <c r="A58" s="68" t="s">
        <v>342</v>
      </c>
      <c r="B58" s="76" t="s">
        <v>579</v>
      </c>
      <c r="C58" s="67">
        <f>VLOOKUP(GroupVertices[[#This Row],[Vertex]],Vertices[],MATCH("ID",Vertices[[#Headers],[Vertex]:[Top Word Pairs in Tweet by Salience]],0),FALSE)</f>
        <v>48</v>
      </c>
    </row>
    <row r="59" spans="1:3" ht="15">
      <c r="A59" s="68" t="s">
        <v>1462</v>
      </c>
      <c r="B59" s="76" t="s">
        <v>604</v>
      </c>
      <c r="C59" s="67">
        <f>VLOOKUP(GroupVertices[[#This Row],[Vertex]],Vertices[],MATCH("ID",Vertices[[#Headers],[Vertex]:[Top Word Pairs in Tweet by Salience]],0),FALSE)</f>
        <v>74</v>
      </c>
    </row>
    <row r="60" spans="1:3" ht="15">
      <c r="A60" s="68" t="s">
        <v>1462</v>
      </c>
      <c r="B60" s="76" t="s">
        <v>603</v>
      </c>
      <c r="C60" s="67">
        <f>VLOOKUP(GroupVertices[[#This Row],[Vertex]],Vertices[],MATCH("ID",Vertices[[#Headers],[Vertex]:[Top Word Pairs in Tweet by Salience]],0),FALSE)</f>
        <v>32</v>
      </c>
    </row>
    <row r="61" spans="1:3" ht="15">
      <c r="A61" s="68" t="s">
        <v>1462</v>
      </c>
      <c r="B61" s="76" t="s">
        <v>642</v>
      </c>
      <c r="C61" s="67">
        <f>VLOOKUP(GroupVertices[[#This Row],[Vertex]],Vertices[],MATCH("ID",Vertices[[#Headers],[Vertex]:[Top Word Pairs in Tweet by Salience]],0),FALSE)</f>
        <v>31</v>
      </c>
    </row>
    <row r="62" spans="1:3" ht="15">
      <c r="A62" s="68" t="s">
        <v>1462</v>
      </c>
      <c r="B62" s="76" t="s">
        <v>566</v>
      </c>
      <c r="C62" s="67">
        <f>VLOOKUP(GroupVertices[[#This Row],[Vertex]],Vertices[],MATCH("ID",Vertices[[#Headers],[Vertex]:[Top Word Pairs in Tweet by Salience]],0),FALSE)</f>
        <v>34</v>
      </c>
    </row>
    <row r="63" spans="1:3" ht="15">
      <c r="A63" s="68" t="s">
        <v>1462</v>
      </c>
      <c r="B63" s="76" t="s">
        <v>565</v>
      </c>
      <c r="C63" s="67">
        <f>VLOOKUP(GroupVertices[[#This Row],[Vertex]],Vertices[],MATCH("ID",Vertices[[#Headers],[Vertex]:[Top Word Pairs in Tweet by Salience]],0),FALSE)</f>
        <v>33</v>
      </c>
    </row>
    <row r="64" spans="1:3" ht="15">
      <c r="A64" s="68" t="s">
        <v>1462</v>
      </c>
      <c r="B64" s="76" t="s">
        <v>564</v>
      </c>
      <c r="C64" s="67">
        <f>VLOOKUP(GroupVertices[[#This Row],[Vertex]],Vertices[],MATCH("ID",Vertices[[#Headers],[Vertex]:[Top Word Pairs in Tweet by Salience]],0),FALSE)</f>
        <v>30</v>
      </c>
    </row>
    <row r="65" spans="1:3" ht="15">
      <c r="A65" s="68" t="s">
        <v>1463</v>
      </c>
      <c r="B65" s="76" t="s">
        <v>562</v>
      </c>
      <c r="C65" s="67">
        <f>VLOOKUP(GroupVertices[[#This Row],[Vertex]],Vertices[],MATCH("ID",Vertices[[#Headers],[Vertex]:[Top Word Pairs in Tweet by Salience]],0),FALSE)</f>
        <v>28</v>
      </c>
    </row>
    <row r="66" spans="1:3" ht="15">
      <c r="A66" s="68" t="s">
        <v>1463</v>
      </c>
      <c r="B66" s="76" t="s">
        <v>561</v>
      </c>
      <c r="C66" s="67">
        <f>VLOOKUP(GroupVertices[[#This Row],[Vertex]],Vertices[],MATCH("ID",Vertices[[#Headers],[Vertex]:[Top Word Pairs in Tweet by Salience]],0),FALSE)</f>
        <v>24</v>
      </c>
    </row>
    <row r="67" spans="1:3" ht="15">
      <c r="A67" s="68" t="s">
        <v>1463</v>
      </c>
      <c r="B67" s="76" t="s">
        <v>560</v>
      </c>
      <c r="C67" s="67">
        <f>VLOOKUP(GroupVertices[[#This Row],[Vertex]],Vertices[],MATCH("ID",Vertices[[#Headers],[Vertex]:[Top Word Pairs in Tweet by Salience]],0),FALSE)</f>
        <v>27</v>
      </c>
    </row>
    <row r="68" spans="1:3" ht="15">
      <c r="A68" s="68" t="s">
        <v>1463</v>
      </c>
      <c r="B68" s="76" t="s">
        <v>559</v>
      </c>
      <c r="C68" s="67">
        <f>VLOOKUP(GroupVertices[[#This Row],[Vertex]],Vertices[],MATCH("ID",Vertices[[#Headers],[Vertex]:[Top Word Pairs in Tweet by Salience]],0),FALSE)</f>
        <v>26</v>
      </c>
    </row>
    <row r="69" spans="1:3" ht="15">
      <c r="A69" s="68" t="s">
        <v>1463</v>
      </c>
      <c r="B69" s="76" t="s">
        <v>558</v>
      </c>
      <c r="C69" s="67">
        <f>VLOOKUP(GroupVertices[[#This Row],[Vertex]],Vertices[],MATCH("ID",Vertices[[#Headers],[Vertex]:[Top Word Pairs in Tweet by Salience]],0),FALSE)</f>
        <v>25</v>
      </c>
    </row>
    <row r="70" spans="1:3" ht="15">
      <c r="A70" s="68" t="s">
        <v>1463</v>
      </c>
      <c r="B70" s="76" t="s">
        <v>557</v>
      </c>
      <c r="C70" s="67">
        <f>VLOOKUP(GroupVertices[[#This Row],[Vertex]],Vertices[],MATCH("ID",Vertices[[#Headers],[Vertex]:[Top Word Pairs in Tweet by Salience]],0),FALSE)</f>
        <v>23</v>
      </c>
    </row>
    <row r="71" spans="1:3" ht="15">
      <c r="A71" s="68" t="s">
        <v>1464</v>
      </c>
      <c r="B71" s="76" t="s">
        <v>571</v>
      </c>
      <c r="C71" s="67">
        <f>VLOOKUP(GroupVertices[[#This Row],[Vertex]],Vertices[],MATCH("ID",Vertices[[#Headers],[Vertex]:[Top Word Pairs in Tweet by Salience]],0),FALSE)</f>
        <v>39</v>
      </c>
    </row>
    <row r="72" spans="1:3" ht="15">
      <c r="A72" s="68" t="s">
        <v>1464</v>
      </c>
      <c r="B72" s="76" t="s">
        <v>569</v>
      </c>
      <c r="C72" s="67">
        <f>VLOOKUP(GroupVertices[[#This Row],[Vertex]],Vertices[],MATCH("ID",Vertices[[#Headers],[Vertex]:[Top Word Pairs in Tweet by Salience]],0),FALSE)</f>
        <v>37</v>
      </c>
    </row>
    <row r="73" spans="1:3" ht="15">
      <c r="A73" s="68" t="s">
        <v>1464</v>
      </c>
      <c r="B73" s="76" t="s">
        <v>570</v>
      </c>
      <c r="C73" s="67">
        <f>VLOOKUP(GroupVertices[[#This Row],[Vertex]],Vertices[],MATCH("ID",Vertices[[#Headers],[Vertex]:[Top Word Pairs in Tweet by Salience]],0),FALSE)</f>
        <v>36</v>
      </c>
    </row>
    <row r="74" spans="1:3" ht="15">
      <c r="A74" s="68" t="s">
        <v>1464</v>
      </c>
      <c r="B74" s="76" t="s">
        <v>568</v>
      </c>
      <c r="C74" s="67">
        <f>VLOOKUP(GroupVertices[[#This Row],[Vertex]],Vertices[],MATCH("ID",Vertices[[#Headers],[Vertex]:[Top Word Pairs in Tweet by Salience]],0),FALSE)</f>
        <v>38</v>
      </c>
    </row>
    <row r="75" spans="1:3" ht="15">
      <c r="A75" s="68" t="s">
        <v>1464</v>
      </c>
      <c r="B75" s="76" t="s">
        <v>567</v>
      </c>
      <c r="C75" s="67">
        <f>VLOOKUP(GroupVertices[[#This Row],[Vertex]],Vertices[],MATCH("ID",Vertices[[#Headers],[Vertex]:[Top Word Pairs in Tweet by Salience]],0),FALSE)</f>
        <v>35</v>
      </c>
    </row>
    <row r="76" spans="1:3" ht="15">
      <c r="A76" s="68" t="s">
        <v>1465</v>
      </c>
      <c r="B76" s="76" t="s">
        <v>556</v>
      </c>
      <c r="C76" s="67">
        <f>VLOOKUP(GroupVertices[[#This Row],[Vertex]],Vertices[],MATCH("ID",Vertices[[#Headers],[Vertex]:[Top Word Pairs in Tweet by Salience]],0),FALSE)</f>
        <v>22</v>
      </c>
    </row>
    <row r="77" spans="1:3" ht="15">
      <c r="A77" s="68" t="s">
        <v>1465</v>
      </c>
      <c r="B77" s="76" t="s">
        <v>555</v>
      </c>
      <c r="C77" s="67">
        <f>VLOOKUP(GroupVertices[[#This Row],[Vertex]],Vertices[],MATCH("ID",Vertices[[#Headers],[Vertex]:[Top Word Pairs in Tweet by Salience]],0),FALSE)</f>
        <v>21</v>
      </c>
    </row>
    <row r="78" spans="1:3" ht="15">
      <c r="A78" s="68" t="s">
        <v>1465</v>
      </c>
      <c r="B78" s="76" t="s">
        <v>641</v>
      </c>
      <c r="C78" s="67">
        <f>VLOOKUP(GroupVertices[[#This Row],[Vertex]],Vertices[],MATCH("ID",Vertices[[#Headers],[Vertex]:[Top Word Pairs in Tweet by Salience]],0),FALSE)</f>
        <v>20</v>
      </c>
    </row>
    <row r="79" spans="1:3" ht="15">
      <c r="A79" s="68" t="s">
        <v>1465</v>
      </c>
      <c r="B79" s="76" t="s">
        <v>640</v>
      </c>
      <c r="C79" s="67">
        <f>VLOOKUP(GroupVertices[[#This Row],[Vertex]],Vertices[],MATCH("ID",Vertices[[#Headers],[Vertex]:[Top Word Pairs in Tweet by Salience]],0),FALSE)</f>
        <v>19</v>
      </c>
    </row>
    <row r="80" spans="1:3" ht="15">
      <c r="A80" s="68" t="s">
        <v>1465</v>
      </c>
      <c r="B80" s="76" t="s">
        <v>554</v>
      </c>
      <c r="C80" s="67">
        <f>VLOOKUP(GroupVertices[[#This Row],[Vertex]],Vertices[],MATCH("ID",Vertices[[#Headers],[Vertex]:[Top Word Pairs in Tweet by Salience]],0),FALSE)</f>
        <v>18</v>
      </c>
    </row>
    <row r="81" spans="1:3" ht="15">
      <c r="A81" s="68" t="s">
        <v>1466</v>
      </c>
      <c r="B81" s="76" t="s">
        <v>610</v>
      </c>
      <c r="C81" s="67">
        <f>VLOOKUP(GroupVertices[[#This Row],[Vertex]],Vertices[],MATCH("ID",Vertices[[#Headers],[Vertex]:[Top Word Pairs in Tweet by Salience]],0),FALSE)</f>
        <v>81</v>
      </c>
    </row>
    <row r="82" spans="1:3" ht="15">
      <c r="A82" s="68" t="s">
        <v>1466</v>
      </c>
      <c r="B82" s="76" t="s">
        <v>647</v>
      </c>
      <c r="C82" s="67">
        <f>VLOOKUP(GroupVertices[[#This Row],[Vertex]],Vertices[],MATCH("ID",Vertices[[#Headers],[Vertex]:[Top Word Pairs in Tweet by Salience]],0),FALSE)</f>
        <v>84</v>
      </c>
    </row>
    <row r="83" spans="1:3" ht="15">
      <c r="A83" s="68" t="s">
        <v>1466</v>
      </c>
      <c r="B83" s="76" t="s">
        <v>646</v>
      </c>
      <c r="C83" s="67">
        <f>VLOOKUP(GroupVertices[[#This Row],[Vertex]],Vertices[],MATCH("ID",Vertices[[#Headers],[Vertex]:[Top Word Pairs in Tweet by Salience]],0),FALSE)</f>
        <v>83</v>
      </c>
    </row>
    <row r="84" spans="1:3" ht="15">
      <c r="A84" s="68" t="s">
        <v>1466</v>
      </c>
      <c r="B84" s="76" t="s">
        <v>645</v>
      </c>
      <c r="C84" s="67">
        <f>VLOOKUP(GroupVertices[[#This Row],[Vertex]],Vertices[],MATCH("ID",Vertices[[#Headers],[Vertex]:[Top Word Pairs in Tweet by Salience]],0),FALSE)</f>
        <v>82</v>
      </c>
    </row>
    <row r="85" spans="1:3" ht="15">
      <c r="A85" s="68" t="s">
        <v>1467</v>
      </c>
      <c r="B85" s="76" t="s">
        <v>259</v>
      </c>
      <c r="C85" s="67">
        <f>VLOOKUP(GroupVertices[[#This Row],[Vertex]],Vertices[],MATCH("ID",Vertices[[#Headers],[Vertex]:[Top Word Pairs in Tweet by Salience]],0),FALSE)</f>
        <v>116</v>
      </c>
    </row>
    <row r="86" spans="1:3" ht="15">
      <c r="A86" s="68" t="s">
        <v>1467</v>
      </c>
      <c r="B86" s="76" t="s">
        <v>258</v>
      </c>
      <c r="C86" s="67">
        <f>VLOOKUP(GroupVertices[[#This Row],[Vertex]],Vertices[],MATCH("ID",Vertices[[#Headers],[Vertex]:[Top Word Pairs in Tweet by Salience]],0),FALSE)</f>
        <v>114</v>
      </c>
    </row>
    <row r="87" spans="1:3" ht="15">
      <c r="A87" s="68" t="s">
        <v>1467</v>
      </c>
      <c r="B87" s="76" t="s">
        <v>261</v>
      </c>
      <c r="C87" s="67">
        <f>VLOOKUP(GroupVertices[[#This Row],[Vertex]],Vertices[],MATCH("ID",Vertices[[#Headers],[Vertex]:[Top Word Pairs in Tweet by Salience]],0),FALSE)</f>
        <v>115</v>
      </c>
    </row>
    <row r="88" spans="1:3" ht="15">
      <c r="A88" s="68" t="s">
        <v>1468</v>
      </c>
      <c r="B88" s="76" t="s">
        <v>631</v>
      </c>
      <c r="C88" s="67">
        <f>VLOOKUP(GroupVertices[[#This Row],[Vertex]],Vertices[],MATCH("ID",Vertices[[#Headers],[Vertex]:[Top Word Pairs in Tweet by Salience]],0),FALSE)</f>
        <v>110</v>
      </c>
    </row>
    <row r="89" spans="1:3" ht="15">
      <c r="A89" s="68" t="s">
        <v>1468</v>
      </c>
      <c r="B89" s="76" t="s">
        <v>653</v>
      </c>
      <c r="C89" s="67">
        <f>VLOOKUP(GroupVertices[[#This Row],[Vertex]],Vertices[],MATCH("ID",Vertices[[#Headers],[Vertex]:[Top Word Pairs in Tweet by Salience]],0),FALSE)</f>
        <v>112</v>
      </c>
    </row>
    <row r="90" spans="1:3" ht="15">
      <c r="A90" s="68" t="s">
        <v>1468</v>
      </c>
      <c r="B90" s="76" t="s">
        <v>652</v>
      </c>
      <c r="C90" s="67">
        <f>VLOOKUP(GroupVertices[[#This Row],[Vertex]],Vertices[],MATCH("ID",Vertices[[#Headers],[Vertex]:[Top Word Pairs in Tweet by Salience]],0),FALSE)</f>
        <v>111</v>
      </c>
    </row>
    <row r="91" spans="1:3" ht="15">
      <c r="A91" s="68" t="s">
        <v>1469</v>
      </c>
      <c r="B91" s="76" t="s">
        <v>624</v>
      </c>
      <c r="C91" s="67">
        <f>VLOOKUP(GroupVertices[[#This Row],[Vertex]],Vertices[],MATCH("ID",Vertices[[#Headers],[Vertex]:[Top Word Pairs in Tweet by Salience]],0),FALSE)</f>
        <v>100</v>
      </c>
    </row>
    <row r="92" spans="1:3" ht="15">
      <c r="A92" s="68" t="s">
        <v>1469</v>
      </c>
      <c r="B92" s="76" t="s">
        <v>623</v>
      </c>
      <c r="C92" s="67">
        <f>VLOOKUP(GroupVertices[[#This Row],[Vertex]],Vertices[],MATCH("ID",Vertices[[#Headers],[Vertex]:[Top Word Pairs in Tweet by Salience]],0),FALSE)</f>
        <v>98</v>
      </c>
    </row>
    <row r="93" spans="1:3" ht="15">
      <c r="A93" s="68" t="s">
        <v>1469</v>
      </c>
      <c r="B93" s="76" t="s">
        <v>649</v>
      </c>
      <c r="C93" s="67">
        <f>VLOOKUP(GroupVertices[[#This Row],[Vertex]],Vertices[],MATCH("ID",Vertices[[#Headers],[Vertex]:[Top Word Pairs in Tweet by Salience]],0),FALSE)</f>
        <v>99</v>
      </c>
    </row>
    <row r="94" spans="1:3" ht="15">
      <c r="A94" s="68" t="s">
        <v>1470</v>
      </c>
      <c r="B94" s="76" t="s">
        <v>621</v>
      </c>
      <c r="C94" s="67">
        <f>VLOOKUP(GroupVertices[[#This Row],[Vertex]],Vertices[],MATCH("ID",Vertices[[#Headers],[Vertex]:[Top Word Pairs in Tweet by Salience]],0),FALSE)</f>
        <v>96</v>
      </c>
    </row>
    <row r="95" spans="1:3" ht="15">
      <c r="A95" s="68" t="s">
        <v>1470</v>
      </c>
      <c r="B95" s="76" t="s">
        <v>620</v>
      </c>
      <c r="C95" s="67">
        <f>VLOOKUP(GroupVertices[[#This Row],[Vertex]],Vertices[],MATCH("ID",Vertices[[#Headers],[Vertex]:[Top Word Pairs in Tweet by Salience]],0),FALSE)</f>
        <v>93</v>
      </c>
    </row>
    <row r="96" spans="1:3" ht="15">
      <c r="A96" s="68" t="s">
        <v>1470</v>
      </c>
      <c r="B96" s="76" t="s">
        <v>617</v>
      </c>
      <c r="C96" s="67">
        <f>VLOOKUP(GroupVertices[[#This Row],[Vertex]],Vertices[],MATCH("ID",Vertices[[#Headers],[Vertex]:[Top Word Pairs in Tweet by Salience]],0),FALSE)</f>
        <v>92</v>
      </c>
    </row>
    <row r="97" spans="1:3" ht="15">
      <c r="A97" s="68" t="s">
        <v>1471</v>
      </c>
      <c r="B97" s="76" t="s">
        <v>545</v>
      </c>
      <c r="C97" s="67">
        <f>VLOOKUP(GroupVertices[[#This Row],[Vertex]],Vertices[],MATCH("ID",Vertices[[#Headers],[Vertex]:[Top Word Pairs in Tweet by Salience]],0),FALSE)</f>
        <v>8</v>
      </c>
    </row>
    <row r="98" spans="1:3" ht="15">
      <c r="A98" s="68" t="s">
        <v>1471</v>
      </c>
      <c r="B98" s="76" t="s">
        <v>544</v>
      </c>
      <c r="C98" s="67">
        <f>VLOOKUP(GroupVertices[[#This Row],[Vertex]],Vertices[],MATCH("ID",Vertices[[#Headers],[Vertex]:[Top Word Pairs in Tweet by Salience]],0),FALSE)</f>
        <v>6</v>
      </c>
    </row>
    <row r="99" spans="1:3" ht="15">
      <c r="A99" s="68" t="s">
        <v>1471</v>
      </c>
      <c r="B99" s="76" t="s">
        <v>638</v>
      </c>
      <c r="C99" s="67">
        <f>VLOOKUP(GroupVertices[[#This Row],[Vertex]],Vertices[],MATCH("ID",Vertices[[#Headers],[Vertex]:[Top Word Pairs in Tweet by Salience]],0),FALSE)</f>
        <v>7</v>
      </c>
    </row>
    <row r="100" spans="1:3" ht="15">
      <c r="A100" s="68" t="s">
        <v>1472</v>
      </c>
      <c r="B100" s="76" t="s">
        <v>628</v>
      </c>
      <c r="C100" s="67">
        <f>VLOOKUP(GroupVertices[[#This Row],[Vertex]],Vertices[],MATCH("ID",Vertices[[#Headers],[Vertex]:[Top Word Pairs in Tweet by Salience]],0),FALSE)</f>
        <v>106</v>
      </c>
    </row>
    <row r="101" spans="1:3" ht="15">
      <c r="A101" s="68" t="s">
        <v>1472</v>
      </c>
      <c r="B101" s="76" t="s">
        <v>651</v>
      </c>
      <c r="C101" s="67">
        <f>VLOOKUP(GroupVertices[[#This Row],[Vertex]],Vertices[],MATCH("ID",Vertices[[#Headers],[Vertex]:[Top Word Pairs in Tweet by Salience]],0),FALSE)</f>
        <v>107</v>
      </c>
    </row>
    <row r="102" spans="1:3" ht="15">
      <c r="A102" s="68" t="s">
        <v>1473</v>
      </c>
      <c r="B102" s="76" t="s">
        <v>256</v>
      </c>
      <c r="C102" s="67">
        <f>VLOOKUP(GroupVertices[[#This Row],[Vertex]],Vertices[],MATCH("ID",Vertices[[#Headers],[Vertex]:[Top Word Pairs in Tweet by Salience]],0),FALSE)</f>
        <v>105</v>
      </c>
    </row>
    <row r="103" spans="1:3" ht="15">
      <c r="A103" s="68" t="s">
        <v>1473</v>
      </c>
      <c r="B103" s="76" t="s">
        <v>260</v>
      </c>
      <c r="C103" s="67">
        <f>VLOOKUP(GroupVertices[[#This Row],[Vertex]],Vertices[],MATCH("ID",Vertices[[#Headers],[Vertex]:[Top Word Pairs in Tweet by Salience]],0),FALSE)</f>
        <v>104</v>
      </c>
    </row>
    <row r="104" spans="1:3" ht="15">
      <c r="A104" s="68" t="s">
        <v>1474</v>
      </c>
      <c r="B104" s="76" t="s">
        <v>627</v>
      </c>
      <c r="C104" s="67">
        <f>VLOOKUP(GroupVertices[[#This Row],[Vertex]],Vertices[],MATCH("ID",Vertices[[#Headers],[Vertex]:[Top Word Pairs in Tweet by Salience]],0),FALSE)</f>
        <v>102</v>
      </c>
    </row>
    <row r="105" spans="1:3" ht="15">
      <c r="A105" s="68" t="s">
        <v>1474</v>
      </c>
      <c r="B105" s="76" t="s">
        <v>650</v>
      </c>
      <c r="C105" s="67">
        <f>VLOOKUP(GroupVertices[[#This Row],[Vertex]],Vertices[],MATCH("ID",Vertices[[#Headers],[Vertex]:[Top Word Pairs in Tweet by Salience]],0),FALSE)</f>
        <v>103</v>
      </c>
    </row>
    <row r="106" spans="1:3" ht="15">
      <c r="A106" s="68" t="s">
        <v>1475</v>
      </c>
      <c r="B106" s="76" t="s">
        <v>619</v>
      </c>
      <c r="C106" s="67">
        <f>VLOOKUP(GroupVertices[[#This Row],[Vertex]],Vertices[],MATCH("ID",Vertices[[#Headers],[Vertex]:[Top Word Pairs in Tweet by Salience]],0),FALSE)</f>
        <v>95</v>
      </c>
    </row>
    <row r="107" spans="1:3" ht="15">
      <c r="A107" s="68" t="s">
        <v>1475</v>
      </c>
      <c r="B107" s="76" t="s">
        <v>618</v>
      </c>
      <c r="C107" s="67">
        <f>VLOOKUP(GroupVertices[[#This Row],[Vertex]],Vertices[],MATCH("ID",Vertices[[#Headers],[Vertex]:[Top Word Pairs in Tweet by Salience]],0),FALSE)</f>
        <v>94</v>
      </c>
    </row>
    <row r="108" spans="1:3" ht="15">
      <c r="A108" s="68" t="s">
        <v>1476</v>
      </c>
      <c r="B108" s="76" t="s">
        <v>611</v>
      </c>
      <c r="C108" s="67">
        <f>VLOOKUP(GroupVertices[[#This Row],[Vertex]],Vertices[],MATCH("ID",Vertices[[#Headers],[Vertex]:[Top Word Pairs in Tweet by Salience]],0),FALSE)</f>
        <v>85</v>
      </c>
    </row>
    <row r="109" spans="1:3" ht="15">
      <c r="A109" s="68" t="s">
        <v>1476</v>
      </c>
      <c r="B109" s="76" t="s">
        <v>648</v>
      </c>
      <c r="C109" s="67">
        <f>VLOOKUP(GroupVertices[[#This Row],[Vertex]],Vertices[],MATCH("ID",Vertices[[#Headers],[Vertex]:[Top Word Pairs in Tweet by Salience]],0),FALSE)</f>
        <v>86</v>
      </c>
    </row>
    <row r="110" spans="1:3" ht="15">
      <c r="A110" s="68" t="s">
        <v>1477</v>
      </c>
      <c r="B110" s="76" t="s">
        <v>609</v>
      </c>
      <c r="C110" s="67">
        <f>VLOOKUP(GroupVertices[[#This Row],[Vertex]],Vertices[],MATCH("ID",Vertices[[#Headers],[Vertex]:[Top Word Pairs in Tweet by Salience]],0),FALSE)</f>
        <v>79</v>
      </c>
    </row>
    <row r="111" spans="1:3" ht="15">
      <c r="A111" s="68" t="s">
        <v>1477</v>
      </c>
      <c r="B111" s="76" t="s">
        <v>644</v>
      </c>
      <c r="C111" s="67">
        <f>VLOOKUP(GroupVertices[[#This Row],[Vertex]],Vertices[],MATCH("ID",Vertices[[#Headers],[Vertex]:[Top Word Pairs in Tweet by Salience]],0),FALSE)</f>
        <v>80</v>
      </c>
    </row>
    <row r="112" spans="1:3" ht="15">
      <c r="A112" s="68" t="s">
        <v>1478</v>
      </c>
      <c r="B112" s="76" t="s">
        <v>590</v>
      </c>
      <c r="C112" s="67">
        <f>VLOOKUP(GroupVertices[[#This Row],[Vertex]],Vertices[],MATCH("ID",Vertices[[#Headers],[Vertex]:[Top Word Pairs in Tweet by Salience]],0),FALSE)</f>
        <v>60</v>
      </c>
    </row>
    <row r="113" spans="1:3" ht="15">
      <c r="A113" s="68" t="s">
        <v>1478</v>
      </c>
      <c r="B113" s="76" t="s">
        <v>643</v>
      </c>
      <c r="C113" s="67">
        <f>VLOOKUP(GroupVertices[[#This Row],[Vertex]],Vertices[],MATCH("ID",Vertices[[#Headers],[Vertex]:[Top Word Pairs in Tweet by Salience]],0),FALSE)</f>
        <v>61</v>
      </c>
    </row>
    <row r="114" spans="1:3" ht="15">
      <c r="A114" s="68" t="s">
        <v>1479</v>
      </c>
      <c r="B114" s="76" t="s">
        <v>587</v>
      </c>
      <c r="C114" s="67">
        <f>VLOOKUP(GroupVertices[[#This Row],[Vertex]],Vertices[],MATCH("ID",Vertices[[#Headers],[Vertex]:[Top Word Pairs in Tweet by Salience]],0),FALSE)</f>
        <v>57</v>
      </c>
    </row>
    <row r="115" spans="1:3" ht="15">
      <c r="A115" s="68" t="s">
        <v>1479</v>
      </c>
      <c r="B115" s="76" t="s">
        <v>586</v>
      </c>
      <c r="C115" s="67">
        <f>VLOOKUP(GroupVertices[[#This Row],[Vertex]],Vertices[],MATCH("ID",Vertices[[#Headers],[Vertex]:[Top Word Pairs in Tweet by Salience]],0),FALSE)</f>
        <v>56</v>
      </c>
    </row>
    <row r="116" spans="1:3" ht="15">
      <c r="A116" s="68" t="s">
        <v>1480</v>
      </c>
      <c r="B116" s="76" t="s">
        <v>549</v>
      </c>
      <c r="C116" s="67">
        <f>VLOOKUP(GroupVertices[[#This Row],[Vertex]],Vertices[],MATCH("ID",Vertices[[#Headers],[Vertex]:[Top Word Pairs in Tweet by Salience]],0),FALSE)</f>
        <v>12</v>
      </c>
    </row>
    <row r="117" spans="1:3" ht="15">
      <c r="A117" s="68" t="s">
        <v>1480</v>
      </c>
      <c r="B117" s="76" t="s">
        <v>639</v>
      </c>
      <c r="C117" s="67">
        <f>VLOOKUP(GroupVertices[[#This Row],[Vertex]],Vertices[],MATCH("ID",Vertices[[#Headers],[Vertex]:[Top Word Pairs in Tweet by Salience]],0),FALSE)</f>
        <v>13</v>
      </c>
    </row>
    <row r="118" spans="1:3" ht="15">
      <c r="A118" s="68" t="s">
        <v>1481</v>
      </c>
      <c r="B118" s="76" t="s">
        <v>543</v>
      </c>
      <c r="C118" s="67">
        <f>VLOOKUP(GroupVertices[[#This Row],[Vertex]],Vertices[],MATCH("ID",Vertices[[#Headers],[Vertex]:[Top Word Pairs in Tweet by Salience]],0),FALSE)</f>
        <v>5</v>
      </c>
    </row>
    <row r="119" spans="1:3" ht="15">
      <c r="A119" s="68" t="s">
        <v>1481</v>
      </c>
      <c r="B119" s="76" t="s">
        <v>542</v>
      </c>
      <c r="C119" s="6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416</v>
      </c>
      <c r="B2" s="35" t="s">
        <v>338</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94</v>
      </c>
      <c r="P2" s="38">
        <f>MIN(Vertices[PageRank])</f>
        <v>0.007406</v>
      </c>
      <c r="Q2" s="39">
        <f>COUNTIF(Vertices[PageRank],"&gt;= "&amp;P2)-COUNTIF(Vertices[PageRank],"&gt;="&amp;P3)</f>
        <v>56</v>
      </c>
      <c r="R2" s="38">
        <f>MIN(Vertices[Clustering Coefficient])</f>
        <v>0</v>
      </c>
      <c r="S2" s="44">
        <f>COUNTIF(Vertices[Clustering Coefficient],"&gt;= "&amp;R2)-COUNTIF(Vertices[Clustering Coefficient],"&gt;="&amp;R3)</f>
        <v>93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1"/>
      <c r="B3" s="91"/>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35</v>
      </c>
      <c r="H3" s="40">
        <f aca="true" t="shared" si="3" ref="H3:H35">H2+($H$36-$H$2)/BinDivisor</f>
        <v>0.08823529411764706</v>
      </c>
      <c r="I3" s="41">
        <f>COUNTIF(Vertices[Out-Degree],"&gt;= "&amp;H3)-COUNTIF(Vertices[Out-Degree],"&gt;="&amp;H4)</f>
        <v>0</v>
      </c>
      <c r="J3" s="40">
        <f aca="true" t="shared" si="4" ref="J3:J35">J2+($J$36-$J$2)/BinDivisor</f>
        <v>14.882352941176471</v>
      </c>
      <c r="K3" s="41">
        <f>COUNTIF(Vertices[Betweenness Centrality],"&gt;= "&amp;J3)-COUNTIF(Vertices[Betweenness Centrality],"&gt;="&amp;J4)</f>
        <v>1</v>
      </c>
      <c r="L3" s="40">
        <f aca="true" t="shared" si="5" ref="L3:L35">L2+($L$36-$L$2)/BinDivisor</f>
        <v>0.005781794117647059</v>
      </c>
      <c r="M3" s="41">
        <f>COUNTIF(Vertices[Closeness Centrality],"&gt;= "&amp;L3)-COUNTIF(Vertices[Closeness Centrality],"&gt;="&amp;L4)</f>
        <v>24</v>
      </c>
      <c r="N3" s="40">
        <f aca="true" t="shared" si="6" ref="N3:N35">N2+($N$36-$N$2)/BinDivisor</f>
        <v>0.02178429411764706</v>
      </c>
      <c r="O3" s="41">
        <f>COUNTIF(Vertices[Eigenvector Centrality],"&gt;= "&amp;N3)-COUNTIF(Vertices[Eigenvector Centrality],"&gt;="&amp;N4)</f>
        <v>0</v>
      </c>
      <c r="P3" s="40">
        <f aca="true" t="shared" si="7" ref="P3:P35">P2+($P$36-$P$2)/BinDivisor</f>
        <v>0.008142529411764706</v>
      </c>
      <c r="Q3" s="41">
        <f>COUNTIF(Vertices[PageRank],"&gt;= "&amp;P3)-COUNTIF(Vertices[PageRank],"&gt;="&amp;P4)</f>
        <v>50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1.411764705882353</v>
      </c>
      <c r="G4" s="39">
        <f>COUNTIF(Vertices[In-Degree],"&gt;= "&amp;F4)-COUNTIF(Vertices[In-Degree],"&gt;="&amp;F5)</f>
        <v>9</v>
      </c>
      <c r="H4" s="38">
        <f t="shared" si="3"/>
        <v>0.17647058823529413</v>
      </c>
      <c r="I4" s="39">
        <f>COUNTIF(Vertices[Out-Degree],"&gt;= "&amp;H4)-COUNTIF(Vertices[Out-Degree],"&gt;="&amp;H5)</f>
        <v>0</v>
      </c>
      <c r="J4" s="38">
        <f t="shared" si="4"/>
        <v>29.764705882352942</v>
      </c>
      <c r="K4" s="39">
        <f>COUNTIF(Vertices[Betweenness Centrality],"&gt;= "&amp;J4)-COUNTIF(Vertices[Betweenness Centrality],"&gt;="&amp;J5)</f>
        <v>0</v>
      </c>
      <c r="L4" s="38">
        <f t="shared" si="5"/>
        <v>0.011563588235294117</v>
      </c>
      <c r="M4" s="39">
        <f>COUNTIF(Vertices[Closeness Centrality],"&gt;= "&amp;L4)-COUNTIF(Vertices[Closeness Centrality],"&gt;="&amp;L5)</f>
        <v>14</v>
      </c>
      <c r="N4" s="38">
        <f t="shared" si="6"/>
        <v>0.04356858823529412</v>
      </c>
      <c r="O4" s="39">
        <f>COUNTIF(Vertices[Eigenvector Centrality],"&gt;= "&amp;N4)-COUNTIF(Vertices[Eigenvector Centrality],"&gt;="&amp;N5)</f>
        <v>0</v>
      </c>
      <c r="P4" s="38">
        <f t="shared" si="7"/>
        <v>0.008879058823529412</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1"/>
      <c r="B5" s="91"/>
      <c r="D5" s="33">
        <f t="shared" si="1"/>
        <v>0</v>
      </c>
      <c r="E5" s="3">
        <f>COUNTIF(Vertices[Degree],"&gt;= "&amp;D5)-COUNTIF(Vertices[Degree],"&gt;="&amp;D6)</f>
        <v>0</v>
      </c>
      <c r="F5" s="40">
        <f t="shared" si="2"/>
        <v>2.1176470588235294</v>
      </c>
      <c r="G5" s="41">
        <f>COUNTIF(Vertices[In-Degree],"&gt;= "&amp;F5)-COUNTIF(Vertices[In-Degree],"&gt;="&amp;F6)</f>
        <v>0</v>
      </c>
      <c r="H5" s="40">
        <f t="shared" si="3"/>
        <v>0.2647058823529412</v>
      </c>
      <c r="I5" s="41">
        <f>COUNTIF(Vertices[Out-Degree],"&gt;= "&amp;H5)-COUNTIF(Vertices[Out-Degree],"&gt;="&amp;H6)</f>
        <v>0</v>
      </c>
      <c r="J5" s="40">
        <f t="shared" si="4"/>
        <v>44.64705882352941</v>
      </c>
      <c r="K5" s="41">
        <f>COUNTIF(Vertices[Betweenness Centrality],"&gt;= "&amp;J5)-COUNTIF(Vertices[Betweenness Centrality],"&gt;="&amp;J6)</f>
        <v>0</v>
      </c>
      <c r="L5" s="40">
        <f t="shared" si="5"/>
        <v>0.017345382352941176</v>
      </c>
      <c r="M5" s="41">
        <f>COUNTIF(Vertices[Closeness Centrality],"&gt;= "&amp;L5)-COUNTIF(Vertices[Closeness Centrality],"&gt;="&amp;L6)</f>
        <v>1</v>
      </c>
      <c r="N5" s="40">
        <f t="shared" si="6"/>
        <v>0.06535288235294118</v>
      </c>
      <c r="O5" s="41">
        <f>COUNTIF(Vertices[Eigenvector Centrality],"&gt;= "&amp;N5)-COUNTIF(Vertices[Eigenvector Centrality],"&gt;="&amp;N6)</f>
        <v>0</v>
      </c>
      <c r="P5" s="40">
        <f t="shared" si="7"/>
        <v>0.009615588235294117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2.823529411764706</v>
      </c>
      <c r="G6" s="39">
        <f>COUNTIF(Vertices[In-Degree],"&gt;= "&amp;F6)-COUNTIF(Vertices[In-Degree],"&gt;="&amp;F7)</f>
        <v>3</v>
      </c>
      <c r="H6" s="38">
        <f t="shared" si="3"/>
        <v>0.35294117647058826</v>
      </c>
      <c r="I6" s="39">
        <f>COUNTIF(Vertices[Out-Degree],"&gt;= "&amp;H6)-COUNTIF(Vertices[Out-Degree],"&gt;="&amp;H7)</f>
        <v>0</v>
      </c>
      <c r="J6" s="38">
        <f t="shared" si="4"/>
        <v>59.529411764705884</v>
      </c>
      <c r="K6" s="39">
        <f>COUNTIF(Vertices[Betweenness Centrality],"&gt;= "&amp;J6)-COUNTIF(Vertices[Betweenness Centrality],"&gt;="&amp;J7)</f>
        <v>0</v>
      </c>
      <c r="L6" s="38">
        <f t="shared" si="5"/>
        <v>0.023127176470588234</v>
      </c>
      <c r="M6" s="39">
        <f>COUNTIF(Vertices[Closeness Centrality],"&gt;= "&amp;L6)-COUNTIF(Vertices[Closeness Centrality],"&gt;="&amp;L7)</f>
        <v>16</v>
      </c>
      <c r="N6" s="38">
        <f t="shared" si="6"/>
        <v>0.08713717647058825</v>
      </c>
      <c r="O6" s="39">
        <f>COUNTIF(Vertices[Eigenvector Centrality],"&gt;= "&amp;N6)-COUNTIF(Vertices[Eigenvector Centrality],"&gt;="&amp;N7)</f>
        <v>0</v>
      </c>
      <c r="P6" s="38">
        <f t="shared" si="7"/>
        <v>0.010352117647058822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3.5294117647058827</v>
      </c>
      <c r="G7" s="41">
        <f>COUNTIF(Vertices[In-Degree],"&gt;= "&amp;F7)-COUNTIF(Vertices[In-Degree],"&gt;="&amp;F8)</f>
        <v>3</v>
      </c>
      <c r="H7" s="40">
        <f t="shared" si="3"/>
        <v>0.44117647058823534</v>
      </c>
      <c r="I7" s="41">
        <f>COUNTIF(Vertices[Out-Degree],"&gt;= "&amp;H7)-COUNTIF(Vertices[Out-Degree],"&gt;="&amp;H8)</f>
        <v>0</v>
      </c>
      <c r="J7" s="40">
        <f t="shared" si="4"/>
        <v>74.41176470588235</v>
      </c>
      <c r="K7" s="41">
        <f>COUNTIF(Vertices[Betweenness Centrality],"&gt;= "&amp;J7)-COUNTIF(Vertices[Betweenness Centrality],"&gt;="&amp;J8)</f>
        <v>0</v>
      </c>
      <c r="L7" s="40">
        <f t="shared" si="5"/>
        <v>0.028908970588235293</v>
      </c>
      <c r="M7" s="41">
        <f>COUNTIF(Vertices[Closeness Centrality],"&gt;= "&amp;L7)-COUNTIF(Vertices[Closeness Centrality],"&gt;="&amp;L8)</f>
        <v>3</v>
      </c>
      <c r="N7" s="40">
        <f t="shared" si="6"/>
        <v>0.10892147058823531</v>
      </c>
      <c r="O7" s="41">
        <f>COUNTIF(Vertices[Eigenvector Centrality],"&gt;= "&amp;N7)-COUNTIF(Vertices[Eigenvector Centrality],"&gt;="&amp;N8)</f>
        <v>0</v>
      </c>
      <c r="P7" s="40">
        <f t="shared" si="7"/>
        <v>0.011088647058823528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126</v>
      </c>
      <c r="D8" s="33">
        <f t="shared" si="1"/>
        <v>0</v>
      </c>
      <c r="E8" s="3">
        <f>COUNTIF(Vertices[Degree],"&gt;= "&amp;D8)-COUNTIF(Vertices[Degree],"&gt;="&amp;D9)</f>
        <v>0</v>
      </c>
      <c r="F8" s="38">
        <f t="shared" si="2"/>
        <v>4.235294117647059</v>
      </c>
      <c r="G8" s="39">
        <f>COUNTIF(Vertices[In-Degree],"&gt;= "&amp;F8)-COUNTIF(Vertices[In-Degree],"&gt;="&amp;F9)</f>
        <v>0</v>
      </c>
      <c r="H8" s="38">
        <f t="shared" si="3"/>
        <v>0.5294117647058824</v>
      </c>
      <c r="I8" s="39">
        <f>COUNTIF(Vertices[Out-Degree],"&gt;= "&amp;H8)-COUNTIF(Vertices[Out-Degree],"&gt;="&amp;H9)</f>
        <v>0</v>
      </c>
      <c r="J8" s="38">
        <f t="shared" si="4"/>
        <v>89.29411764705881</v>
      </c>
      <c r="K8" s="39">
        <f>COUNTIF(Vertices[Betweenness Centrality],"&gt;= "&amp;J8)-COUNTIF(Vertices[Betweenness Centrality],"&gt;="&amp;J9)</f>
        <v>0</v>
      </c>
      <c r="L8" s="38">
        <f t="shared" si="5"/>
        <v>0.03469076470588235</v>
      </c>
      <c r="M8" s="39">
        <f>COUNTIF(Vertices[Closeness Centrality],"&gt;= "&amp;L8)-COUNTIF(Vertices[Closeness Centrality],"&gt;="&amp;L9)</f>
        <v>0</v>
      </c>
      <c r="N8" s="38">
        <f t="shared" si="6"/>
        <v>0.13070576470588238</v>
      </c>
      <c r="O8" s="39">
        <f>COUNTIF(Vertices[Eigenvector Centrality],"&gt;= "&amp;N8)-COUNTIF(Vertices[Eigenvector Centrality],"&gt;="&amp;N9)</f>
        <v>22</v>
      </c>
      <c r="P8" s="38">
        <f t="shared" si="7"/>
        <v>0.011825176470588233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1"/>
      <c r="B9" s="91"/>
      <c r="D9" s="33">
        <f t="shared" si="1"/>
        <v>0</v>
      </c>
      <c r="E9" s="3">
        <f>COUNTIF(Vertices[Degree],"&gt;= "&amp;D9)-COUNTIF(Vertices[Degree],"&gt;="&amp;D10)</f>
        <v>0</v>
      </c>
      <c r="F9" s="40">
        <f t="shared" si="2"/>
        <v>4.9411764705882355</v>
      </c>
      <c r="G9" s="41">
        <f>COUNTIF(Vertices[In-Degree],"&gt;= "&amp;F9)-COUNTIF(Vertices[In-Degree],"&gt;="&amp;F10)</f>
        <v>1</v>
      </c>
      <c r="H9" s="40">
        <f t="shared" si="3"/>
        <v>0.6176470588235294</v>
      </c>
      <c r="I9" s="41">
        <f>COUNTIF(Vertices[Out-Degree],"&gt;= "&amp;H9)-COUNTIF(Vertices[Out-Degree],"&gt;="&amp;H10)</f>
        <v>0</v>
      </c>
      <c r="J9" s="40">
        <f t="shared" si="4"/>
        <v>104.17647058823528</v>
      </c>
      <c r="K9" s="41">
        <f>COUNTIF(Vertices[Betweenness Centrality],"&gt;= "&amp;J9)-COUNTIF(Vertices[Betweenness Centrality],"&gt;="&amp;J10)</f>
        <v>0</v>
      </c>
      <c r="L9" s="40">
        <f t="shared" si="5"/>
        <v>0.04047255882352941</v>
      </c>
      <c r="M9" s="41">
        <f>COUNTIF(Vertices[Closeness Centrality],"&gt;= "&amp;L9)-COUNTIF(Vertices[Closeness Centrality],"&gt;="&amp;L10)</f>
        <v>3</v>
      </c>
      <c r="N9" s="40">
        <f t="shared" si="6"/>
        <v>0.15249005882352945</v>
      </c>
      <c r="O9" s="41">
        <f>COUNTIF(Vertices[Eigenvector Centrality],"&gt;= "&amp;N9)-COUNTIF(Vertices[Eigenvector Centrality],"&gt;="&amp;N10)</f>
        <v>1</v>
      </c>
      <c r="P9" s="40">
        <f t="shared" si="7"/>
        <v>0.012561705882352938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417</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0.7058823529411765</v>
      </c>
      <c r="I10" s="39">
        <f>COUNTIF(Vertices[Out-Degree],"&gt;= "&amp;H10)-COUNTIF(Vertices[Out-Degree],"&gt;="&amp;H11)</f>
        <v>0</v>
      </c>
      <c r="J10" s="38">
        <f t="shared" si="4"/>
        <v>119.05882352941174</v>
      </c>
      <c r="K10" s="39">
        <f>COUNTIF(Vertices[Betweenness Centrality],"&gt;= "&amp;J10)-COUNTIF(Vertices[Betweenness Centrality],"&gt;="&amp;J11)</f>
        <v>1</v>
      </c>
      <c r="L10" s="38">
        <f t="shared" si="5"/>
        <v>0.04625435294117647</v>
      </c>
      <c r="M10" s="39">
        <f>COUNTIF(Vertices[Closeness Centrality],"&gt;= "&amp;L10)-COUNTIF(Vertices[Closeness Centrality],"&gt;="&amp;L11)</f>
        <v>0</v>
      </c>
      <c r="N10" s="38">
        <f t="shared" si="6"/>
        <v>0.17427435294117652</v>
      </c>
      <c r="O10" s="39">
        <f>COUNTIF(Vertices[Eigenvector Centrality],"&gt;= "&amp;N10)-COUNTIF(Vertices[Eigenvector Centrality],"&gt;="&amp;N11)</f>
        <v>0</v>
      </c>
      <c r="P10" s="38">
        <f t="shared" si="7"/>
        <v>0.013298235294117644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1"/>
      <c r="B11" s="91"/>
      <c r="D11" s="33">
        <f t="shared" si="1"/>
        <v>0</v>
      </c>
      <c r="E11" s="3">
        <f>COUNTIF(Vertices[Degree],"&gt;= "&amp;D11)-COUNTIF(Vertices[Degree],"&gt;="&amp;D12)</f>
        <v>0</v>
      </c>
      <c r="F11" s="40">
        <f t="shared" si="2"/>
        <v>6.352941176470589</v>
      </c>
      <c r="G11" s="41">
        <f>COUNTIF(Vertices[In-Degree],"&gt;= "&amp;F11)-COUNTIF(Vertices[In-Degree],"&gt;="&amp;F12)</f>
        <v>0</v>
      </c>
      <c r="H11" s="40">
        <f t="shared" si="3"/>
        <v>0.7941176470588236</v>
      </c>
      <c r="I11" s="41">
        <f>COUNTIF(Vertices[Out-Degree],"&gt;= "&amp;H11)-COUNTIF(Vertices[Out-Degree],"&gt;="&amp;H12)</f>
        <v>0</v>
      </c>
      <c r="J11" s="40">
        <f t="shared" si="4"/>
        <v>133.9411764705882</v>
      </c>
      <c r="K11" s="41">
        <f>COUNTIF(Vertices[Betweenness Centrality],"&gt;= "&amp;J11)-COUNTIF(Vertices[Betweenness Centrality],"&gt;="&amp;J12)</f>
        <v>0</v>
      </c>
      <c r="L11" s="40">
        <f t="shared" si="5"/>
        <v>0.05203614705882353</v>
      </c>
      <c r="M11" s="41">
        <f>COUNTIF(Vertices[Closeness Centrality],"&gt;= "&amp;L11)-COUNTIF(Vertices[Closeness Centrality],"&gt;="&amp;L12)</f>
        <v>12</v>
      </c>
      <c r="N11" s="40">
        <f t="shared" si="6"/>
        <v>0.1960586470588236</v>
      </c>
      <c r="O11" s="41">
        <f>COUNTIF(Vertices[Eigenvector Centrality],"&gt;= "&amp;N11)-COUNTIF(Vertices[Eigenvector Centrality],"&gt;="&amp;N12)</f>
        <v>0</v>
      </c>
      <c r="P11" s="40">
        <f t="shared" si="7"/>
        <v>0.014034764705882349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218</v>
      </c>
      <c r="B12" s="35">
        <v>31</v>
      </c>
      <c r="D12" s="33">
        <f t="shared" si="1"/>
        <v>0</v>
      </c>
      <c r="E12" s="3">
        <f>COUNTIF(Vertices[Degree],"&gt;= "&amp;D12)-COUNTIF(Vertices[Degree],"&gt;="&amp;D13)</f>
        <v>0</v>
      </c>
      <c r="F12" s="38">
        <f t="shared" si="2"/>
        <v>7.058823529411765</v>
      </c>
      <c r="G12" s="39">
        <f>COUNTIF(Vertices[In-Degree],"&gt;= "&amp;F12)-COUNTIF(Vertices[In-Degree],"&gt;="&amp;F13)</f>
        <v>0</v>
      </c>
      <c r="H12" s="38">
        <f t="shared" si="3"/>
        <v>0.8823529411764707</v>
      </c>
      <c r="I12" s="39">
        <f>COUNTIF(Vertices[Out-Degree],"&gt;= "&amp;H12)-COUNTIF(Vertices[Out-Degree],"&gt;="&amp;H13)</f>
        <v>0</v>
      </c>
      <c r="J12" s="38">
        <f t="shared" si="4"/>
        <v>148.82352941176467</v>
      </c>
      <c r="K12" s="39">
        <f>COUNTIF(Vertices[Betweenness Centrality],"&gt;= "&amp;J12)-COUNTIF(Vertices[Betweenness Centrality],"&gt;="&amp;J13)</f>
        <v>0</v>
      </c>
      <c r="L12" s="38">
        <f t="shared" si="5"/>
        <v>0.057817941176470586</v>
      </c>
      <c r="M12" s="39">
        <f>COUNTIF(Vertices[Closeness Centrality],"&gt;= "&amp;L12)-COUNTIF(Vertices[Closeness Centrality],"&gt;="&amp;L13)</f>
        <v>0</v>
      </c>
      <c r="N12" s="38">
        <f t="shared" si="6"/>
        <v>0.21784294117647066</v>
      </c>
      <c r="O12" s="39">
        <f>COUNTIF(Vertices[Eigenvector Centrality],"&gt;= "&amp;N12)-COUNTIF(Vertices[Eigenvector Centrality],"&gt;="&amp;N13)</f>
        <v>0</v>
      </c>
      <c r="P12" s="38">
        <f t="shared" si="7"/>
        <v>0.014771294117647054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61</v>
      </c>
      <c r="D13" s="33">
        <f t="shared" si="1"/>
        <v>0</v>
      </c>
      <c r="E13" s="3">
        <f>COUNTIF(Vertices[Degree],"&gt;= "&amp;D13)-COUNTIF(Vertices[Degree],"&gt;="&amp;D14)</f>
        <v>0</v>
      </c>
      <c r="F13" s="40">
        <f t="shared" si="2"/>
        <v>7.764705882352942</v>
      </c>
      <c r="G13" s="41">
        <f>COUNTIF(Vertices[In-Degree],"&gt;= "&amp;F13)-COUNTIF(Vertices[In-Degree],"&gt;="&amp;F14)</f>
        <v>0</v>
      </c>
      <c r="H13" s="40">
        <f t="shared" si="3"/>
        <v>0.9705882352941178</v>
      </c>
      <c r="I13" s="41">
        <f>COUNTIF(Vertices[Out-Degree],"&gt;= "&amp;H13)-COUNTIF(Vertices[Out-Degree],"&gt;="&amp;H14)</f>
        <v>85</v>
      </c>
      <c r="J13" s="40">
        <f t="shared" si="4"/>
        <v>163.70588235294113</v>
      </c>
      <c r="K13" s="41">
        <f>COUNTIF(Vertices[Betweenness Centrality],"&gt;= "&amp;J13)-COUNTIF(Vertices[Betweenness Centrality],"&gt;="&amp;J14)</f>
        <v>0</v>
      </c>
      <c r="L13" s="40">
        <f t="shared" si="5"/>
        <v>0.06359973529411764</v>
      </c>
      <c r="M13" s="41">
        <f>COUNTIF(Vertices[Closeness Centrality],"&gt;= "&amp;L13)-COUNTIF(Vertices[Closeness Centrality],"&gt;="&amp;L14)</f>
        <v>0</v>
      </c>
      <c r="N13" s="40">
        <f t="shared" si="6"/>
        <v>0.23962723529411772</v>
      </c>
      <c r="O13" s="41">
        <f>COUNTIF(Vertices[Eigenvector Centrality],"&gt;= "&amp;N13)-COUNTIF(Vertices[Eigenvector Centrality],"&gt;="&amp;N14)</f>
        <v>0</v>
      </c>
      <c r="P13" s="40">
        <f t="shared" si="7"/>
        <v>0.01550782352941176</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264</v>
      </c>
      <c r="B14" s="35">
        <v>14</v>
      </c>
      <c r="D14" s="33">
        <f t="shared" si="1"/>
        <v>0</v>
      </c>
      <c r="E14" s="3">
        <f>COUNTIF(Vertices[Degree],"&gt;= "&amp;D14)-COUNTIF(Vertices[Degree],"&gt;="&amp;D15)</f>
        <v>0</v>
      </c>
      <c r="F14" s="38">
        <f t="shared" si="2"/>
        <v>8.470588235294118</v>
      </c>
      <c r="G14" s="39">
        <f>COUNTIF(Vertices[In-Degree],"&gt;= "&amp;F14)-COUNTIF(Vertices[In-Degree],"&gt;="&amp;F15)</f>
        <v>0</v>
      </c>
      <c r="H14" s="38">
        <f t="shared" si="3"/>
        <v>1.0588235294117647</v>
      </c>
      <c r="I14" s="39">
        <f>COUNTIF(Vertices[Out-Degree],"&gt;= "&amp;H14)-COUNTIF(Vertices[Out-Degree],"&gt;="&amp;H15)</f>
        <v>0</v>
      </c>
      <c r="J14" s="38">
        <f t="shared" si="4"/>
        <v>178.5882352941176</v>
      </c>
      <c r="K14" s="39">
        <f>COUNTIF(Vertices[Betweenness Centrality],"&gt;= "&amp;J14)-COUNTIF(Vertices[Betweenness Centrality],"&gt;="&amp;J15)</f>
        <v>0</v>
      </c>
      <c r="L14" s="38">
        <f t="shared" si="5"/>
        <v>0.0693815294117647</v>
      </c>
      <c r="M14" s="39">
        <f>COUNTIF(Vertices[Closeness Centrality],"&gt;= "&amp;L14)-COUNTIF(Vertices[Closeness Centrality],"&gt;="&amp;L15)</f>
        <v>0</v>
      </c>
      <c r="N14" s="38">
        <f t="shared" si="6"/>
        <v>0.26141152941176476</v>
      </c>
      <c r="O14" s="39">
        <f>COUNTIF(Vertices[Eigenvector Centrality],"&gt;= "&amp;N14)-COUNTIF(Vertices[Eigenvector Centrality],"&gt;="&amp;N15)</f>
        <v>0</v>
      </c>
      <c r="P14" s="38">
        <f t="shared" si="7"/>
        <v>0.016244352941176467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1.1470588235294117</v>
      </c>
      <c r="I15" s="41">
        <f>COUNTIF(Vertices[Out-Degree],"&gt;= "&amp;H15)-COUNTIF(Vertices[Out-Degree],"&gt;="&amp;H16)</f>
        <v>0</v>
      </c>
      <c r="J15" s="40">
        <f t="shared" si="4"/>
        <v>193.47058823529406</v>
      </c>
      <c r="K15" s="41">
        <f>COUNTIF(Vertices[Betweenness Centrality],"&gt;= "&amp;J15)-COUNTIF(Vertices[Betweenness Centrality],"&gt;="&amp;J16)</f>
        <v>0</v>
      </c>
      <c r="L15" s="40">
        <f t="shared" si="5"/>
        <v>0.07516332352941177</v>
      </c>
      <c r="M15" s="41">
        <f>COUNTIF(Vertices[Closeness Centrality],"&gt;= "&amp;L15)-COUNTIF(Vertices[Closeness Centrality],"&gt;="&amp;L16)</f>
        <v>0</v>
      </c>
      <c r="N15" s="40">
        <f t="shared" si="6"/>
        <v>0.2831958235294118</v>
      </c>
      <c r="O15" s="41">
        <f>COUNTIF(Vertices[Eigenvector Centrality],"&gt;= "&amp;N15)-COUNTIF(Vertices[Eigenvector Centrality],"&gt;="&amp;N16)</f>
        <v>0</v>
      </c>
      <c r="P15" s="40">
        <f t="shared" si="7"/>
        <v>0.016980882352941172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654</v>
      </c>
      <c r="B16" s="35">
        <v>2</v>
      </c>
      <c r="D16" s="33">
        <f t="shared" si="1"/>
        <v>0</v>
      </c>
      <c r="E16" s="3">
        <f>COUNTIF(Vertices[Degree],"&gt;= "&amp;D16)-COUNTIF(Vertices[Degree],"&gt;="&amp;D17)</f>
        <v>0</v>
      </c>
      <c r="F16" s="38">
        <f t="shared" si="2"/>
        <v>9.88235294117647</v>
      </c>
      <c r="G16" s="39">
        <f>COUNTIF(Vertices[In-Degree],"&gt;= "&amp;F16)-COUNTIF(Vertices[In-Degree],"&gt;="&amp;F17)</f>
        <v>0</v>
      </c>
      <c r="H16" s="38">
        <f t="shared" si="3"/>
        <v>1.2352941176470587</v>
      </c>
      <c r="I16" s="39">
        <f>COUNTIF(Vertices[Out-Degree],"&gt;= "&amp;H16)-COUNTIF(Vertices[Out-Degree],"&gt;="&amp;H17)</f>
        <v>0</v>
      </c>
      <c r="J16" s="38">
        <f t="shared" si="4"/>
        <v>208.35294117647052</v>
      </c>
      <c r="K16" s="39">
        <f>COUNTIF(Vertices[Betweenness Centrality],"&gt;= "&amp;J16)-COUNTIF(Vertices[Betweenness Centrality],"&gt;="&amp;J17)</f>
        <v>0</v>
      </c>
      <c r="L16" s="38">
        <f t="shared" si="5"/>
        <v>0.08094511764705883</v>
      </c>
      <c r="M16" s="39">
        <f>COUNTIF(Vertices[Closeness Centrality],"&gt;= "&amp;L16)-COUNTIF(Vertices[Closeness Centrality],"&gt;="&amp;L17)</f>
        <v>0</v>
      </c>
      <c r="N16" s="38">
        <f t="shared" si="6"/>
        <v>0.30498011764705885</v>
      </c>
      <c r="O16" s="39">
        <f>COUNTIF(Vertices[Eigenvector Centrality],"&gt;= "&amp;N16)-COUNTIF(Vertices[Eigenvector Centrality],"&gt;="&amp;N17)</f>
        <v>0</v>
      </c>
      <c r="P16" s="38">
        <f t="shared" si="7"/>
        <v>0.017717411764705877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1"/>
      <c r="B17" s="91"/>
      <c r="D17" s="33">
        <f t="shared" si="1"/>
        <v>0</v>
      </c>
      <c r="E17" s="3">
        <f>COUNTIF(Vertices[Degree],"&gt;= "&amp;D17)-COUNTIF(Vertices[Degree],"&gt;="&amp;D18)</f>
        <v>0</v>
      </c>
      <c r="F17" s="40">
        <f t="shared" si="2"/>
        <v>10.588235294117645</v>
      </c>
      <c r="G17" s="41">
        <f>COUNTIF(Vertices[In-Degree],"&gt;= "&amp;F17)-COUNTIF(Vertices[In-Degree],"&gt;="&amp;F18)</f>
        <v>0</v>
      </c>
      <c r="H17" s="40">
        <f t="shared" si="3"/>
        <v>1.3235294117647056</v>
      </c>
      <c r="I17" s="41">
        <f>COUNTIF(Vertices[Out-Degree],"&gt;= "&amp;H17)-COUNTIF(Vertices[Out-Degree],"&gt;="&amp;H18)</f>
        <v>0</v>
      </c>
      <c r="J17" s="40">
        <f t="shared" si="4"/>
        <v>223.235294117647</v>
      </c>
      <c r="K17" s="41">
        <f>COUNTIF(Vertices[Betweenness Centrality],"&gt;= "&amp;J17)-COUNTIF(Vertices[Betweenness Centrality],"&gt;="&amp;J18)</f>
        <v>0</v>
      </c>
      <c r="L17" s="40">
        <f t="shared" si="5"/>
        <v>0.0867269117647059</v>
      </c>
      <c r="M17" s="41">
        <f>COUNTIF(Vertices[Closeness Centrality],"&gt;= "&amp;L17)-COUNTIF(Vertices[Closeness Centrality],"&gt;="&amp;L18)</f>
        <v>0</v>
      </c>
      <c r="N17" s="40">
        <f t="shared" si="6"/>
        <v>0.3267644117647059</v>
      </c>
      <c r="O17" s="41">
        <f>COUNTIF(Vertices[Eigenvector Centrality],"&gt;= "&amp;N17)-COUNTIF(Vertices[Eigenvector Centrality],"&gt;="&amp;N18)</f>
        <v>0</v>
      </c>
      <c r="P17" s="40">
        <f t="shared" si="7"/>
        <v>0.018453941176470583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11.29411764705882</v>
      </c>
      <c r="G18" s="39">
        <f>COUNTIF(Vertices[In-Degree],"&gt;= "&amp;F18)-COUNTIF(Vertices[In-Degree],"&gt;="&amp;F19)</f>
        <v>0</v>
      </c>
      <c r="H18" s="38">
        <f t="shared" si="3"/>
        <v>1.4117647058823526</v>
      </c>
      <c r="I18" s="39">
        <f>COUNTIF(Vertices[Out-Degree],"&gt;= "&amp;H18)-COUNTIF(Vertices[Out-Degree],"&gt;="&amp;H19)</f>
        <v>0</v>
      </c>
      <c r="J18" s="38">
        <f t="shared" si="4"/>
        <v>238.11764705882345</v>
      </c>
      <c r="K18" s="39">
        <f>COUNTIF(Vertices[Betweenness Centrality],"&gt;= "&amp;J18)-COUNTIF(Vertices[Betweenness Centrality],"&gt;="&amp;J19)</f>
        <v>0</v>
      </c>
      <c r="L18" s="38">
        <f t="shared" si="5"/>
        <v>0.09250870588235297</v>
      </c>
      <c r="M18" s="39">
        <f>COUNTIF(Vertices[Closeness Centrality],"&gt;= "&amp;L18)-COUNTIF(Vertices[Closeness Centrality],"&gt;="&amp;L19)</f>
        <v>0</v>
      </c>
      <c r="N18" s="38">
        <f t="shared" si="6"/>
        <v>0.3485487058823529</v>
      </c>
      <c r="O18" s="39">
        <f>COUNTIF(Vertices[Eigenvector Centrality],"&gt;= "&amp;N18)-COUNTIF(Vertices[Eigenvector Centrality],"&gt;="&amp;N19)</f>
        <v>0</v>
      </c>
      <c r="P18" s="38">
        <f t="shared" si="7"/>
        <v>0.019190470588235288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1"/>
      <c r="B19" s="91"/>
      <c r="D19" s="33">
        <f t="shared" si="1"/>
        <v>0</v>
      </c>
      <c r="E19" s="3">
        <f>COUNTIF(Vertices[Degree],"&gt;= "&amp;D19)-COUNTIF(Vertices[Degree],"&gt;="&amp;D20)</f>
        <v>0</v>
      </c>
      <c r="F19" s="40">
        <f t="shared" si="2"/>
        <v>11.999999999999996</v>
      </c>
      <c r="G19" s="41">
        <f>COUNTIF(Vertices[In-Degree],"&gt;= "&amp;F19)-COUNTIF(Vertices[In-Degree],"&gt;="&amp;F20)</f>
        <v>0</v>
      </c>
      <c r="H19" s="40">
        <f t="shared" si="3"/>
        <v>1.4999999999999996</v>
      </c>
      <c r="I19" s="41">
        <f>COUNTIF(Vertices[Out-Degree],"&gt;= "&amp;H19)-COUNTIF(Vertices[Out-Degree],"&gt;="&amp;H20)</f>
        <v>0</v>
      </c>
      <c r="J19" s="40">
        <f t="shared" si="4"/>
        <v>252.99999999999991</v>
      </c>
      <c r="K19" s="41">
        <f>COUNTIF(Vertices[Betweenness Centrality],"&gt;= "&amp;J19)-COUNTIF(Vertices[Betweenness Centrality],"&gt;="&amp;J20)</f>
        <v>0</v>
      </c>
      <c r="L19" s="40">
        <f t="shared" si="5"/>
        <v>0.09829050000000003</v>
      </c>
      <c r="M19" s="41">
        <f>COUNTIF(Vertices[Closeness Centrality],"&gt;= "&amp;L19)-COUNTIF(Vertices[Closeness Centrality],"&gt;="&amp;L20)</f>
        <v>24</v>
      </c>
      <c r="N19" s="40">
        <f t="shared" si="6"/>
        <v>0.37033299999999997</v>
      </c>
      <c r="O19" s="41">
        <f>COUNTIF(Vertices[Eigenvector Centrality],"&gt;= "&amp;N19)-COUNTIF(Vertices[Eigenvector Centrality],"&gt;="&amp;N20)</f>
        <v>0</v>
      </c>
      <c r="P19" s="40">
        <f t="shared" si="7"/>
        <v>0.019926999999999993</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0.01098901098901099</v>
      </c>
      <c r="D20" s="33">
        <f t="shared" si="1"/>
        <v>0</v>
      </c>
      <c r="E20" s="3">
        <f>COUNTIF(Vertices[Degree],"&gt;= "&amp;D20)-COUNTIF(Vertices[Degree],"&gt;="&amp;D21)</f>
        <v>0</v>
      </c>
      <c r="F20" s="38">
        <f t="shared" si="2"/>
        <v>12.705882352941172</v>
      </c>
      <c r="G20" s="39">
        <f>COUNTIF(Vertices[In-Degree],"&gt;= "&amp;F20)-COUNTIF(Vertices[In-Degree],"&gt;="&amp;F21)</f>
        <v>1</v>
      </c>
      <c r="H20" s="38">
        <f t="shared" si="3"/>
        <v>1.5882352941176465</v>
      </c>
      <c r="I20" s="39">
        <f>COUNTIF(Vertices[Out-Degree],"&gt;= "&amp;H20)-COUNTIF(Vertices[Out-Degree],"&gt;="&amp;H21)</f>
        <v>0</v>
      </c>
      <c r="J20" s="38">
        <f t="shared" si="4"/>
        <v>267.8823529411764</v>
      </c>
      <c r="K20" s="39">
        <f>COUNTIF(Vertices[Betweenness Centrality],"&gt;= "&amp;J20)-COUNTIF(Vertices[Betweenness Centrality],"&gt;="&amp;J21)</f>
        <v>0</v>
      </c>
      <c r="L20" s="38">
        <f t="shared" si="5"/>
        <v>0.1040722941176471</v>
      </c>
      <c r="M20" s="39">
        <f>COUNTIF(Vertices[Closeness Centrality],"&gt;= "&amp;L20)-COUNTIF(Vertices[Closeness Centrality],"&gt;="&amp;L21)</f>
        <v>0</v>
      </c>
      <c r="N20" s="38">
        <f t="shared" si="6"/>
        <v>0.392117294117647</v>
      </c>
      <c r="O20" s="39">
        <f>COUNTIF(Vertices[Eigenvector Centrality],"&gt;= "&amp;N20)-COUNTIF(Vertices[Eigenvector Centrality],"&gt;="&amp;N21)</f>
        <v>0</v>
      </c>
      <c r="P20" s="38">
        <f t="shared" si="7"/>
        <v>0.0206635294117647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0.021739130434782608</v>
      </c>
      <c r="D21" s="33">
        <f t="shared" si="1"/>
        <v>0</v>
      </c>
      <c r="E21" s="3">
        <f>COUNTIF(Vertices[Degree],"&gt;= "&amp;D21)-COUNTIF(Vertices[Degree],"&gt;="&amp;D22)</f>
        <v>0</v>
      </c>
      <c r="F21" s="40">
        <f t="shared" si="2"/>
        <v>13.411764705882348</v>
      </c>
      <c r="G21" s="41">
        <f>COUNTIF(Vertices[In-Degree],"&gt;= "&amp;F21)-COUNTIF(Vertices[In-Degree],"&gt;="&amp;F22)</f>
        <v>0</v>
      </c>
      <c r="H21" s="40">
        <f t="shared" si="3"/>
        <v>1.6764705882352935</v>
      </c>
      <c r="I21" s="41">
        <f>COUNTIF(Vertices[Out-Degree],"&gt;= "&amp;H21)-COUNTIF(Vertices[Out-Degree],"&gt;="&amp;H22)</f>
        <v>0</v>
      </c>
      <c r="J21" s="40">
        <f t="shared" si="4"/>
        <v>282.76470588235287</v>
      </c>
      <c r="K21" s="41">
        <f>COUNTIF(Vertices[Betweenness Centrality],"&gt;= "&amp;J21)-COUNTIF(Vertices[Betweenness Centrality],"&gt;="&amp;J22)</f>
        <v>0</v>
      </c>
      <c r="L21" s="40">
        <f t="shared" si="5"/>
        <v>0.10985408823529416</v>
      </c>
      <c r="M21" s="41">
        <f>COUNTIF(Vertices[Closeness Centrality],"&gt;= "&amp;L21)-COUNTIF(Vertices[Closeness Centrality],"&gt;="&amp;L22)</f>
        <v>0</v>
      </c>
      <c r="N21" s="40">
        <f t="shared" si="6"/>
        <v>0.41390158823529405</v>
      </c>
      <c r="O21" s="41">
        <f>COUNTIF(Vertices[Eigenvector Centrality],"&gt;= "&amp;N21)-COUNTIF(Vertices[Eigenvector Centrality],"&gt;="&amp;N22)</f>
        <v>0</v>
      </c>
      <c r="P21" s="40">
        <f t="shared" si="7"/>
        <v>0.021400058823529404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1"/>
      <c r="B22" s="91"/>
      <c r="D22" s="33">
        <f t="shared" si="1"/>
        <v>0</v>
      </c>
      <c r="E22" s="3">
        <f>COUNTIF(Vertices[Degree],"&gt;= "&amp;D22)-COUNTIF(Vertices[Degree],"&gt;="&amp;D23)</f>
        <v>0</v>
      </c>
      <c r="F22" s="38">
        <f t="shared" si="2"/>
        <v>14.117647058823524</v>
      </c>
      <c r="G22" s="39">
        <f>COUNTIF(Vertices[In-Degree],"&gt;= "&amp;F22)-COUNTIF(Vertices[In-Degree],"&gt;="&amp;F23)</f>
        <v>0</v>
      </c>
      <c r="H22" s="38">
        <f t="shared" si="3"/>
        <v>1.7647058823529405</v>
      </c>
      <c r="I22" s="39">
        <f>COUNTIF(Vertices[Out-Degree],"&gt;= "&amp;H22)-COUNTIF(Vertices[Out-Degree],"&gt;="&amp;H23)</f>
        <v>0</v>
      </c>
      <c r="J22" s="38">
        <f t="shared" si="4"/>
        <v>297.64705882352933</v>
      </c>
      <c r="K22" s="39">
        <f>COUNTIF(Vertices[Betweenness Centrality],"&gt;= "&amp;J22)-COUNTIF(Vertices[Betweenness Centrality],"&gt;="&amp;J23)</f>
        <v>0</v>
      </c>
      <c r="L22" s="38">
        <f t="shared" si="5"/>
        <v>0.11563588235294123</v>
      </c>
      <c r="M22" s="39">
        <f>COUNTIF(Vertices[Closeness Centrality],"&gt;= "&amp;L22)-COUNTIF(Vertices[Closeness Centrality],"&gt;="&amp;L23)</f>
        <v>0</v>
      </c>
      <c r="N22" s="38">
        <f t="shared" si="6"/>
        <v>0.4356858823529411</v>
      </c>
      <c r="O22" s="39">
        <f>COUNTIF(Vertices[Eigenvector Centrality],"&gt;= "&amp;N22)-COUNTIF(Vertices[Eigenvector Centrality],"&gt;="&amp;N23)</f>
        <v>0</v>
      </c>
      <c r="P22" s="38">
        <f t="shared" si="7"/>
        <v>0.02213658823529411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14.8235294117647</v>
      </c>
      <c r="G23" s="41">
        <f>COUNTIF(Vertices[In-Degree],"&gt;= "&amp;F23)-COUNTIF(Vertices[In-Degree],"&gt;="&amp;F24)</f>
        <v>0</v>
      </c>
      <c r="H23" s="40">
        <f t="shared" si="3"/>
        <v>1.8529411764705874</v>
      </c>
      <c r="I23" s="41">
        <f>COUNTIF(Vertices[Out-Degree],"&gt;= "&amp;H23)-COUNTIF(Vertices[Out-Degree],"&gt;="&amp;H24)</f>
        <v>0</v>
      </c>
      <c r="J23" s="40">
        <f t="shared" si="4"/>
        <v>312.5294117647058</v>
      </c>
      <c r="K23" s="41">
        <f>COUNTIF(Vertices[Betweenness Centrality],"&gt;= "&amp;J23)-COUNTIF(Vertices[Betweenness Centrality],"&gt;="&amp;J24)</f>
        <v>0</v>
      </c>
      <c r="L23" s="40">
        <f t="shared" si="5"/>
        <v>0.12141767647058829</v>
      </c>
      <c r="M23" s="41">
        <f>COUNTIF(Vertices[Closeness Centrality],"&gt;= "&amp;L23)-COUNTIF(Vertices[Closeness Centrality],"&gt;="&amp;L24)</f>
        <v>0</v>
      </c>
      <c r="N23" s="40">
        <f t="shared" si="6"/>
        <v>0.45747017647058813</v>
      </c>
      <c r="O23" s="41">
        <f>COUNTIF(Vertices[Eigenvector Centrality],"&gt;= "&amp;N23)-COUNTIF(Vertices[Eigenvector Centrality],"&gt;="&amp;N24)</f>
        <v>0</v>
      </c>
      <c r="P23" s="40">
        <f t="shared" si="7"/>
        <v>0.022873117647058815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15.529411764705875</v>
      </c>
      <c r="G24" s="39">
        <f>COUNTIF(Vertices[In-Degree],"&gt;= "&amp;F24)-COUNTIF(Vertices[In-Degree],"&gt;="&amp;F25)</f>
        <v>0</v>
      </c>
      <c r="H24" s="38">
        <f t="shared" si="3"/>
        <v>1.9411764705882344</v>
      </c>
      <c r="I24" s="39">
        <f>COUNTIF(Vertices[Out-Degree],"&gt;= "&amp;H24)-COUNTIF(Vertices[Out-Degree],"&gt;="&amp;H25)</f>
        <v>11</v>
      </c>
      <c r="J24" s="38">
        <f t="shared" si="4"/>
        <v>327.41176470588226</v>
      </c>
      <c r="K24" s="39">
        <f>COUNTIF(Vertices[Betweenness Centrality],"&gt;= "&amp;J24)-COUNTIF(Vertices[Betweenness Centrality],"&gt;="&amp;J25)</f>
        <v>0</v>
      </c>
      <c r="L24" s="38">
        <f t="shared" si="5"/>
        <v>0.12719947058823536</v>
      </c>
      <c r="M24" s="39">
        <f>COUNTIF(Vertices[Closeness Centrality],"&gt;= "&amp;L24)-COUNTIF(Vertices[Closeness Centrality],"&gt;="&amp;L25)</f>
        <v>0</v>
      </c>
      <c r="N24" s="38">
        <f t="shared" si="6"/>
        <v>0.47925447058823517</v>
      </c>
      <c r="O24" s="39">
        <f>COUNTIF(Vertices[Eigenvector Centrality],"&gt;= "&amp;N24)-COUNTIF(Vertices[Eigenvector Centrality],"&gt;="&amp;N25)</f>
        <v>0</v>
      </c>
      <c r="P24" s="38">
        <f t="shared" si="7"/>
        <v>0.02360964705882352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16.23529411764705</v>
      </c>
      <c r="G25" s="41">
        <f>COUNTIF(Vertices[In-Degree],"&gt;= "&amp;F25)-COUNTIF(Vertices[In-Degree],"&gt;="&amp;F26)</f>
        <v>0</v>
      </c>
      <c r="H25" s="40">
        <f t="shared" si="3"/>
        <v>2.0294117647058814</v>
      </c>
      <c r="I25" s="41">
        <f>COUNTIF(Vertices[Out-Degree],"&gt;= "&amp;H25)-COUNTIF(Vertices[Out-Degree],"&gt;="&amp;H26)</f>
        <v>0</v>
      </c>
      <c r="J25" s="40">
        <f t="shared" si="4"/>
        <v>342.2941176470587</v>
      </c>
      <c r="K25" s="41">
        <f>COUNTIF(Vertices[Betweenness Centrality],"&gt;= "&amp;J25)-COUNTIF(Vertices[Betweenness Centrality],"&gt;="&amp;J26)</f>
        <v>0</v>
      </c>
      <c r="L25" s="40">
        <f t="shared" si="5"/>
        <v>0.13298126470588242</v>
      </c>
      <c r="M25" s="41">
        <f>COUNTIF(Vertices[Closeness Centrality],"&gt;= "&amp;L25)-COUNTIF(Vertices[Closeness Centrality],"&gt;="&amp;L26)</f>
        <v>0</v>
      </c>
      <c r="N25" s="40">
        <f t="shared" si="6"/>
        <v>0.5010387647058823</v>
      </c>
      <c r="O25" s="41">
        <f>COUNTIF(Vertices[Eigenvector Centrality],"&gt;= "&amp;N25)-COUNTIF(Vertices[Eigenvector Centrality],"&gt;="&amp;N26)</f>
        <v>0</v>
      </c>
      <c r="P25" s="40">
        <f t="shared" si="7"/>
        <v>0.024346176470588225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16.94117647058823</v>
      </c>
      <c r="G26" s="39">
        <f>COUNTIF(Vertices[In-Degree],"&gt;= "&amp;F26)-COUNTIF(Vertices[In-Degree],"&gt;="&amp;F27)</f>
        <v>0</v>
      </c>
      <c r="H26" s="38">
        <f t="shared" si="3"/>
        <v>2.1176470588235285</v>
      </c>
      <c r="I26" s="39">
        <f>COUNTIF(Vertices[Out-Degree],"&gt;= "&amp;H26)-COUNTIF(Vertices[Out-Degree],"&gt;="&amp;H27)</f>
        <v>0</v>
      </c>
      <c r="J26" s="38">
        <f t="shared" si="4"/>
        <v>357.1764705882352</v>
      </c>
      <c r="K26" s="39">
        <f>COUNTIF(Vertices[Betweenness Centrality],"&gt;= "&amp;J26)-COUNTIF(Vertices[Betweenness Centrality],"&gt;="&amp;J27)</f>
        <v>0</v>
      </c>
      <c r="L26" s="38">
        <f t="shared" si="5"/>
        <v>0.1387630588235295</v>
      </c>
      <c r="M26" s="39">
        <f>COUNTIF(Vertices[Closeness Centrality],"&gt;= "&amp;L26)-COUNTIF(Vertices[Closeness Centrality],"&gt;="&amp;L27)</f>
        <v>0</v>
      </c>
      <c r="N26" s="38">
        <f t="shared" si="6"/>
        <v>0.5228230588235293</v>
      </c>
      <c r="O26" s="39">
        <f>COUNTIF(Vertices[Eigenvector Centrality],"&gt;= "&amp;N26)-COUNTIF(Vertices[Eigenvector Centrality],"&gt;="&amp;N27)</f>
        <v>0</v>
      </c>
      <c r="P26" s="38">
        <f t="shared" si="7"/>
        <v>0.02508270588235293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1"/>
      <c r="B27" s="91"/>
      <c r="D27" s="33">
        <f t="shared" si="1"/>
        <v>0</v>
      </c>
      <c r="E27" s="3">
        <f>COUNTIF(Vertices[Degree],"&gt;= "&amp;D27)-COUNTIF(Vertices[Degree],"&gt;="&amp;D28)</f>
        <v>0</v>
      </c>
      <c r="F27" s="40">
        <f t="shared" si="2"/>
        <v>17.647058823529406</v>
      </c>
      <c r="G27" s="41">
        <f>COUNTIF(Vertices[In-Degree],"&gt;= "&amp;F27)-COUNTIF(Vertices[In-Degree],"&gt;="&amp;F28)</f>
        <v>0</v>
      </c>
      <c r="H27" s="40">
        <f t="shared" si="3"/>
        <v>2.2058823529411757</v>
      </c>
      <c r="I27" s="41">
        <f>COUNTIF(Vertices[Out-Degree],"&gt;= "&amp;H27)-COUNTIF(Vertices[Out-Degree],"&gt;="&amp;H28)</f>
        <v>0</v>
      </c>
      <c r="J27" s="40">
        <f t="shared" si="4"/>
        <v>372.05882352941165</v>
      </c>
      <c r="K27" s="41">
        <f>COUNTIF(Vertices[Betweenness Centrality],"&gt;= "&amp;J27)-COUNTIF(Vertices[Betweenness Centrality],"&gt;="&amp;J28)</f>
        <v>0</v>
      </c>
      <c r="L27" s="40">
        <f t="shared" si="5"/>
        <v>0.14454485294117655</v>
      </c>
      <c r="M27" s="41">
        <f>COUNTIF(Vertices[Closeness Centrality],"&gt;= "&amp;L27)-COUNTIF(Vertices[Closeness Centrality],"&gt;="&amp;L28)</f>
        <v>0</v>
      </c>
      <c r="N27" s="40">
        <f t="shared" si="6"/>
        <v>0.5446073529411763</v>
      </c>
      <c r="O27" s="41">
        <f>COUNTIF(Vertices[Eigenvector Centrality],"&gt;= "&amp;N27)-COUNTIF(Vertices[Eigenvector Centrality],"&gt;="&amp;N28)</f>
        <v>0</v>
      </c>
      <c r="P27" s="40">
        <f t="shared" si="7"/>
        <v>0.025819235294117636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18.352941176470583</v>
      </c>
      <c r="G28" s="39">
        <f>COUNTIF(Vertices[In-Degree],"&gt;= "&amp;F28)-COUNTIF(Vertices[In-Degree],"&gt;="&amp;F29)</f>
        <v>0</v>
      </c>
      <c r="H28" s="38">
        <f t="shared" si="3"/>
        <v>2.294117647058823</v>
      </c>
      <c r="I28" s="39">
        <f>COUNTIF(Vertices[Out-Degree],"&gt;= "&amp;H28)-COUNTIF(Vertices[Out-Degree],"&gt;="&amp;H29)</f>
        <v>0</v>
      </c>
      <c r="J28" s="38">
        <f t="shared" si="4"/>
        <v>386.9411764705881</v>
      </c>
      <c r="K28" s="39">
        <f>COUNTIF(Vertices[Betweenness Centrality],"&gt;= "&amp;J28)-COUNTIF(Vertices[Betweenness Centrality],"&gt;="&amp;J29)</f>
        <v>0</v>
      </c>
      <c r="L28" s="38">
        <f t="shared" si="5"/>
        <v>0.15032664705882362</v>
      </c>
      <c r="M28" s="39">
        <f>COUNTIF(Vertices[Closeness Centrality],"&gt;= "&amp;L28)-COUNTIF(Vertices[Closeness Centrality],"&gt;="&amp;L29)</f>
        <v>0</v>
      </c>
      <c r="N28" s="38">
        <f t="shared" si="6"/>
        <v>0.5663916470588234</v>
      </c>
      <c r="O28" s="39">
        <f>COUNTIF(Vertices[Eigenvector Centrality],"&gt;= "&amp;N28)-COUNTIF(Vertices[Eigenvector Centrality],"&gt;="&amp;N29)</f>
        <v>0</v>
      </c>
      <c r="P28" s="38">
        <f t="shared" si="7"/>
        <v>0.02655576470588234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1.576923</v>
      </c>
      <c r="D29" s="33">
        <f t="shared" si="1"/>
        <v>0</v>
      </c>
      <c r="E29" s="3">
        <f>COUNTIF(Vertices[Degree],"&gt;= "&amp;D29)-COUNTIF(Vertices[Degree],"&gt;="&amp;D30)</f>
        <v>0</v>
      </c>
      <c r="F29" s="40">
        <f t="shared" si="2"/>
        <v>19.05882352941176</v>
      </c>
      <c r="G29" s="41">
        <f>COUNTIF(Vertices[In-Degree],"&gt;= "&amp;F29)-COUNTIF(Vertices[In-Degree],"&gt;="&amp;F30)</f>
        <v>0</v>
      </c>
      <c r="H29" s="40">
        <f t="shared" si="3"/>
        <v>2.38235294117647</v>
      </c>
      <c r="I29" s="41">
        <f>COUNTIF(Vertices[Out-Degree],"&gt;= "&amp;H29)-COUNTIF(Vertices[Out-Degree],"&gt;="&amp;H30)</f>
        <v>0</v>
      </c>
      <c r="J29" s="40">
        <f t="shared" si="4"/>
        <v>401.8235294117646</v>
      </c>
      <c r="K29" s="41">
        <f>COUNTIF(Vertices[Betweenness Centrality],"&gt;= "&amp;J29)-COUNTIF(Vertices[Betweenness Centrality],"&gt;="&amp;J30)</f>
        <v>0</v>
      </c>
      <c r="L29" s="40">
        <f t="shared" si="5"/>
        <v>0.15610844117647069</v>
      </c>
      <c r="M29" s="41">
        <f>COUNTIF(Vertices[Closeness Centrality],"&gt;= "&amp;L29)-COUNTIF(Vertices[Closeness Centrality],"&gt;="&amp;L30)</f>
        <v>0</v>
      </c>
      <c r="N29" s="40">
        <f t="shared" si="6"/>
        <v>0.5881759411764704</v>
      </c>
      <c r="O29" s="41">
        <f>COUNTIF(Vertices[Eigenvector Centrality],"&gt;= "&amp;N29)-COUNTIF(Vertices[Eigenvector Centrality],"&gt;="&amp;N30)</f>
        <v>0</v>
      </c>
      <c r="P29" s="40">
        <f t="shared" si="7"/>
        <v>0.027292294117647047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1"/>
      <c r="B30" s="91"/>
      <c r="D30" s="33">
        <f t="shared" si="1"/>
        <v>0</v>
      </c>
      <c r="E30" s="3">
        <f>COUNTIF(Vertices[Degree],"&gt;= "&amp;D30)-COUNTIF(Vertices[Degree],"&gt;="&amp;D31)</f>
        <v>0</v>
      </c>
      <c r="F30" s="38">
        <f t="shared" si="2"/>
        <v>19.76470588235294</v>
      </c>
      <c r="G30" s="39">
        <f>COUNTIF(Vertices[In-Degree],"&gt;= "&amp;F30)-COUNTIF(Vertices[In-Degree],"&gt;="&amp;F31)</f>
        <v>0</v>
      </c>
      <c r="H30" s="38">
        <f t="shared" si="3"/>
        <v>2.4705882352941173</v>
      </c>
      <c r="I30" s="39">
        <f>COUNTIF(Vertices[Out-Degree],"&gt;= "&amp;H30)-COUNTIF(Vertices[Out-Degree],"&gt;="&amp;H31)</f>
        <v>0</v>
      </c>
      <c r="J30" s="38">
        <f t="shared" si="4"/>
        <v>416.70588235294105</v>
      </c>
      <c r="K30" s="39">
        <f>COUNTIF(Vertices[Betweenness Centrality],"&gt;= "&amp;J30)-COUNTIF(Vertices[Betweenness Centrality],"&gt;="&amp;J31)</f>
        <v>0</v>
      </c>
      <c r="L30" s="38">
        <f t="shared" si="5"/>
        <v>0.16189023529411775</v>
      </c>
      <c r="M30" s="39">
        <f>COUNTIF(Vertices[Closeness Centrality],"&gt;= "&amp;L30)-COUNTIF(Vertices[Closeness Centrality],"&gt;="&amp;L31)</f>
        <v>0</v>
      </c>
      <c r="N30" s="38">
        <f t="shared" si="6"/>
        <v>0.6099602352941175</v>
      </c>
      <c r="O30" s="39">
        <f>COUNTIF(Vertices[Eigenvector Centrality],"&gt;= "&amp;N30)-COUNTIF(Vertices[Eigenvector Centrality],"&gt;="&amp;N31)</f>
        <v>0</v>
      </c>
      <c r="P30" s="38">
        <f t="shared" si="7"/>
        <v>0.028028823529411752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0.006663769375633783</v>
      </c>
      <c r="D31" s="33">
        <f t="shared" si="1"/>
        <v>0</v>
      </c>
      <c r="E31" s="3">
        <f>COUNTIF(Vertices[Degree],"&gt;= "&amp;D31)-COUNTIF(Vertices[Degree],"&gt;="&amp;D32)</f>
        <v>0</v>
      </c>
      <c r="F31" s="40">
        <f t="shared" si="2"/>
        <v>20.470588235294116</v>
      </c>
      <c r="G31" s="41">
        <f>COUNTIF(Vertices[In-Degree],"&gt;= "&amp;F31)-COUNTIF(Vertices[In-Degree],"&gt;="&amp;F32)</f>
        <v>0</v>
      </c>
      <c r="H31" s="40">
        <f t="shared" si="3"/>
        <v>2.5588235294117645</v>
      </c>
      <c r="I31" s="41">
        <f>COUNTIF(Vertices[Out-Degree],"&gt;= "&amp;H31)-COUNTIF(Vertices[Out-Degree],"&gt;="&amp;H32)</f>
        <v>0</v>
      </c>
      <c r="J31" s="40">
        <f t="shared" si="4"/>
        <v>431.5882352941175</v>
      </c>
      <c r="K31" s="41">
        <f>COUNTIF(Vertices[Betweenness Centrality],"&gt;= "&amp;J31)-COUNTIF(Vertices[Betweenness Centrality],"&gt;="&amp;J32)</f>
        <v>0</v>
      </c>
      <c r="L31" s="40">
        <f t="shared" si="5"/>
        <v>0.16767202941176482</v>
      </c>
      <c r="M31" s="41">
        <f>COUNTIF(Vertices[Closeness Centrality],"&gt;= "&amp;L31)-COUNTIF(Vertices[Closeness Centrality],"&gt;="&amp;L32)</f>
        <v>0</v>
      </c>
      <c r="N31" s="40">
        <f t="shared" si="6"/>
        <v>0.6317445294117645</v>
      </c>
      <c r="O31" s="41">
        <f>COUNTIF(Vertices[Eigenvector Centrality],"&gt;= "&amp;N31)-COUNTIF(Vertices[Eigenvector Centrality],"&gt;="&amp;N32)</f>
        <v>0</v>
      </c>
      <c r="P31" s="40">
        <f t="shared" si="7"/>
        <v>0.028765352941176457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418</v>
      </c>
      <c r="B32" s="35">
        <v>0.7694</v>
      </c>
      <c r="D32" s="33">
        <f t="shared" si="1"/>
        <v>0</v>
      </c>
      <c r="E32" s="3">
        <f>COUNTIF(Vertices[Degree],"&gt;= "&amp;D32)-COUNTIF(Vertices[Degree],"&gt;="&amp;D33)</f>
        <v>0</v>
      </c>
      <c r="F32" s="38">
        <f t="shared" si="2"/>
        <v>21.176470588235293</v>
      </c>
      <c r="G32" s="39">
        <f>COUNTIF(Vertices[In-Degree],"&gt;= "&amp;F32)-COUNTIF(Vertices[In-Degree],"&gt;="&amp;F33)</f>
        <v>0</v>
      </c>
      <c r="H32" s="38">
        <f t="shared" si="3"/>
        <v>2.6470588235294117</v>
      </c>
      <c r="I32" s="39">
        <f>COUNTIF(Vertices[Out-Degree],"&gt;= "&amp;H32)-COUNTIF(Vertices[Out-Degree],"&gt;="&amp;H33)</f>
        <v>0</v>
      </c>
      <c r="J32" s="38">
        <f t="shared" si="4"/>
        <v>446.470588235294</v>
      </c>
      <c r="K32" s="39">
        <f>COUNTIF(Vertices[Betweenness Centrality],"&gt;= "&amp;J32)-COUNTIF(Vertices[Betweenness Centrality],"&gt;="&amp;J33)</f>
        <v>0</v>
      </c>
      <c r="L32" s="38">
        <f t="shared" si="5"/>
        <v>0.17345382352941188</v>
      </c>
      <c r="M32" s="39">
        <f>COUNTIF(Vertices[Closeness Centrality],"&gt;= "&amp;L32)-COUNTIF(Vertices[Closeness Centrality],"&gt;="&amp;L33)</f>
        <v>0</v>
      </c>
      <c r="N32" s="38">
        <f t="shared" si="6"/>
        <v>0.6535288235294116</v>
      </c>
      <c r="O32" s="39">
        <f>COUNTIF(Vertices[Eigenvector Centrality],"&gt;= "&amp;N32)-COUNTIF(Vertices[Eigenvector Centrality],"&gt;="&amp;N33)</f>
        <v>0</v>
      </c>
      <c r="P32" s="38">
        <f t="shared" si="7"/>
        <v>0.029501882352941163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1"/>
      <c r="B33" s="91"/>
      <c r="D33" s="33">
        <f t="shared" si="1"/>
        <v>0</v>
      </c>
      <c r="E33" s="3">
        <f>COUNTIF(Vertices[Degree],"&gt;= "&amp;D33)-COUNTIF(Vertices[Degree],"&gt;="&amp;D34)</f>
        <v>0</v>
      </c>
      <c r="F33" s="40">
        <f t="shared" si="2"/>
        <v>21.88235294117647</v>
      </c>
      <c r="G33" s="41">
        <f>COUNTIF(Vertices[In-Degree],"&gt;= "&amp;F33)-COUNTIF(Vertices[In-Degree],"&gt;="&amp;F34)</f>
        <v>0</v>
      </c>
      <c r="H33" s="40">
        <f t="shared" si="3"/>
        <v>2.735294117647059</v>
      </c>
      <c r="I33" s="41">
        <f>COUNTIF(Vertices[Out-Degree],"&gt;= "&amp;H33)-COUNTIF(Vertices[Out-Degree],"&gt;="&amp;H34)</f>
        <v>0</v>
      </c>
      <c r="J33" s="40">
        <f t="shared" si="4"/>
        <v>461.35294117647044</v>
      </c>
      <c r="K33" s="41">
        <f>COUNTIF(Vertices[Betweenness Centrality],"&gt;= "&amp;J33)-COUNTIF(Vertices[Betweenness Centrality],"&gt;="&amp;J34)</f>
        <v>0</v>
      </c>
      <c r="L33" s="40">
        <f t="shared" si="5"/>
        <v>0.17923561764705895</v>
      </c>
      <c r="M33" s="41">
        <f>COUNTIF(Vertices[Closeness Centrality],"&gt;= "&amp;L33)-COUNTIF(Vertices[Closeness Centrality],"&gt;="&amp;L34)</f>
        <v>0</v>
      </c>
      <c r="N33" s="40">
        <f t="shared" si="6"/>
        <v>0.6753131176470586</v>
      </c>
      <c r="O33" s="41">
        <f>COUNTIF(Vertices[Eigenvector Centrality],"&gt;= "&amp;N33)-COUNTIF(Vertices[Eigenvector Centrality],"&gt;="&amp;N34)</f>
        <v>0</v>
      </c>
      <c r="P33" s="40">
        <f t="shared" si="7"/>
        <v>0.030238411764705868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419</v>
      </c>
      <c r="B34" s="35" t="s">
        <v>434</v>
      </c>
      <c r="D34" s="33">
        <f t="shared" si="1"/>
        <v>0</v>
      </c>
      <c r="E34" s="3">
        <f>COUNTIF(Vertices[Degree],"&gt;= "&amp;D34)-COUNTIF(Vertices[Degree],"&gt;="&amp;D35)</f>
        <v>0</v>
      </c>
      <c r="F34" s="38">
        <f t="shared" si="2"/>
        <v>22.58823529411765</v>
      </c>
      <c r="G34" s="39">
        <f>COUNTIF(Vertices[In-Degree],"&gt;= "&amp;F34)-COUNTIF(Vertices[In-Degree],"&gt;="&amp;F35)</f>
        <v>0</v>
      </c>
      <c r="H34" s="38">
        <f t="shared" si="3"/>
        <v>2.823529411764706</v>
      </c>
      <c r="I34" s="39">
        <f>COUNTIF(Vertices[Out-Degree],"&gt;= "&amp;H34)-COUNTIF(Vertices[Out-Degree],"&gt;="&amp;H35)</f>
        <v>0</v>
      </c>
      <c r="J34" s="38">
        <f t="shared" si="4"/>
        <v>476.2352941176469</v>
      </c>
      <c r="K34" s="39">
        <f>COUNTIF(Vertices[Betweenness Centrality],"&gt;= "&amp;J34)-COUNTIF(Vertices[Betweenness Centrality],"&gt;="&amp;J35)</f>
        <v>0</v>
      </c>
      <c r="L34" s="38">
        <f t="shared" si="5"/>
        <v>0.185017411764706</v>
      </c>
      <c r="M34" s="39">
        <f>COUNTIF(Vertices[Closeness Centrality],"&gt;= "&amp;L34)-COUNTIF(Vertices[Closeness Centrality],"&gt;="&amp;L35)</f>
        <v>0</v>
      </c>
      <c r="N34" s="38">
        <f t="shared" si="6"/>
        <v>0.6970974117647056</v>
      </c>
      <c r="O34" s="39">
        <f>COUNTIF(Vertices[Eigenvector Centrality],"&gt;= "&amp;N34)-COUNTIF(Vertices[Eigenvector Centrality],"&gt;="&amp;N35)</f>
        <v>0</v>
      </c>
      <c r="P34" s="38">
        <f t="shared" si="7"/>
        <v>0.030974941176470573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1"/>
      <c r="B35" s="91"/>
      <c r="D35" s="33">
        <f t="shared" si="1"/>
        <v>0</v>
      </c>
      <c r="E35" s="3">
        <f>COUNTIF(Vertices[Degree],"&gt;= "&amp;D35)-COUNTIF(Vertices[Degree],"&gt;="&amp;D36)</f>
        <v>0</v>
      </c>
      <c r="F35" s="40">
        <f t="shared" si="2"/>
        <v>23.294117647058826</v>
      </c>
      <c r="G35" s="41">
        <f>COUNTIF(Vertices[In-Degree],"&gt;= "&amp;F35)-COUNTIF(Vertices[In-Degree],"&gt;="&amp;F36)</f>
        <v>0</v>
      </c>
      <c r="H35" s="40">
        <f t="shared" si="3"/>
        <v>2.9117647058823533</v>
      </c>
      <c r="I35" s="41">
        <f>COUNTIF(Vertices[Out-Degree],"&gt;= "&amp;H35)-COUNTIF(Vertices[Out-Degree],"&gt;="&amp;H36)</f>
        <v>0</v>
      </c>
      <c r="J35" s="40">
        <f t="shared" si="4"/>
        <v>491.11764705882337</v>
      </c>
      <c r="K35" s="41">
        <f>COUNTIF(Vertices[Betweenness Centrality],"&gt;= "&amp;J35)-COUNTIF(Vertices[Betweenness Centrality],"&gt;="&amp;J36)</f>
        <v>0</v>
      </c>
      <c r="L35" s="40">
        <f t="shared" si="5"/>
        <v>0.19079920588235308</v>
      </c>
      <c r="M35" s="41">
        <f>COUNTIF(Vertices[Closeness Centrality],"&gt;= "&amp;L35)-COUNTIF(Vertices[Closeness Centrality],"&gt;="&amp;L36)</f>
        <v>0</v>
      </c>
      <c r="N35" s="40">
        <f t="shared" si="6"/>
        <v>0.7188817058823527</v>
      </c>
      <c r="O35" s="41">
        <f>COUNTIF(Vertices[Eigenvector Centrality],"&gt;= "&amp;N35)-COUNTIF(Vertices[Eigenvector Centrality],"&gt;="&amp;N36)</f>
        <v>0</v>
      </c>
      <c r="P35" s="40">
        <f t="shared" si="7"/>
        <v>0.03171147058823528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420</v>
      </c>
      <c r="B36" s="35" t="s">
        <v>2030</v>
      </c>
      <c r="D36" s="33">
        <f>MAX(Vertices[Degree])</f>
        <v>0</v>
      </c>
      <c r="E36" s="3">
        <f>COUNTIF(Vertices[Degree],"&gt;= "&amp;D36)-COUNTIF(Vertices[Degree],"&gt;="&amp;#REF!)</f>
        <v>0</v>
      </c>
      <c r="F36" s="42">
        <f>MAX(Vertices[In-Degree])</f>
        <v>24</v>
      </c>
      <c r="G36" s="43">
        <f>COUNTIF(Vertices[In-Degree],"&gt;= "&amp;F36)-COUNTIF(Vertices[In-Degree],"&gt;="&amp;#REF!)</f>
        <v>1</v>
      </c>
      <c r="H36" s="42">
        <f>MAX(Vertices[Out-Degree])</f>
        <v>3</v>
      </c>
      <c r="I36" s="43">
        <f>COUNTIF(Vertices[Out-Degree],"&gt;= "&amp;H36)-COUNTIF(Vertices[Out-Degree],"&gt;="&amp;#REF!)</f>
        <v>5</v>
      </c>
      <c r="J36" s="42">
        <f>MAX(Vertices[Betweenness Centrality])</f>
        <v>506</v>
      </c>
      <c r="K36" s="43">
        <f>COUNTIF(Vertices[Betweenness Centrality],"&gt;= "&amp;J36)-COUNTIF(Vertices[Betweenness Centrality],"&gt;="&amp;#REF!)</f>
        <v>1</v>
      </c>
      <c r="L36" s="42">
        <f>MAX(Vertices[Closeness Centrality])</f>
        <v>0.196581</v>
      </c>
      <c r="M36" s="43">
        <f>COUNTIF(Vertices[Closeness Centrality],"&gt;= "&amp;L36)-COUNTIF(Vertices[Closeness Centrality],"&gt;="&amp;#REF!)</f>
        <v>1</v>
      </c>
      <c r="N36" s="42">
        <f>MAX(Vertices[Eigenvector Centrality])</f>
        <v>0.740666</v>
      </c>
      <c r="O36" s="43">
        <f>COUNTIF(Vertices[Eigenvector Centrality],"&gt;= "&amp;N36)-COUNTIF(Vertices[Eigenvector Centrality],"&gt;="&amp;#REF!)</f>
        <v>1</v>
      </c>
      <c r="P36" s="42">
        <f>MAX(Vertices[PageRank])</f>
        <v>0.032448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421</v>
      </c>
      <c r="B37" s="35" t="s">
        <v>2031</v>
      </c>
    </row>
    <row r="38" spans="1:2" ht="15">
      <c r="A38" s="91"/>
      <c r="B38" s="91"/>
    </row>
    <row r="39" spans="1:2" ht="15">
      <c r="A39" s="35" t="s">
        <v>422</v>
      </c>
      <c r="B39" s="35" t="s">
        <v>539</v>
      </c>
    </row>
    <row r="40" spans="1:2" ht="15">
      <c r="A40" s="35" t="s">
        <v>423</v>
      </c>
      <c r="B40" s="35" t="s">
        <v>2027</v>
      </c>
    </row>
    <row r="41" spans="1:2" ht="409.6">
      <c r="A41" s="35" t="s">
        <v>424</v>
      </c>
      <c r="B41" s="54" t="s">
        <v>2028</v>
      </c>
    </row>
    <row r="42" spans="1:2" ht="15">
      <c r="A42" s="35" t="s">
        <v>425</v>
      </c>
      <c r="B42" s="35" t="s">
        <v>540</v>
      </c>
    </row>
    <row r="43" spans="1:2" ht="15">
      <c r="A43" s="35" t="s">
        <v>426</v>
      </c>
      <c r="B43" s="35" t="s">
        <v>541</v>
      </c>
    </row>
    <row r="44" spans="1:2" ht="15">
      <c r="A44" s="35" t="s">
        <v>427</v>
      </c>
      <c r="B44" s="35" t="s">
        <v>339</v>
      </c>
    </row>
    <row r="45" spans="1:2" ht="15">
      <c r="A45" s="35" t="s">
        <v>428</v>
      </c>
      <c r="B45" s="35" t="s">
        <v>339</v>
      </c>
    </row>
    <row r="46" spans="1:2" ht="15">
      <c r="A46" s="35" t="s">
        <v>429</v>
      </c>
      <c r="B46" s="35" t="s">
        <v>339</v>
      </c>
    </row>
    <row r="47" spans="1:2" ht="15">
      <c r="A47" s="35" t="s">
        <v>430</v>
      </c>
      <c r="B47" s="35"/>
    </row>
    <row r="48" spans="1:2" ht="15">
      <c r="A48" s="35" t="s">
        <v>21</v>
      </c>
      <c r="B48" s="35"/>
    </row>
    <row r="49" spans="1:2" ht="15">
      <c r="A49" s="35" t="s">
        <v>431</v>
      </c>
      <c r="B49" s="35" t="s">
        <v>34</v>
      </c>
    </row>
    <row r="50" spans="1:2" ht="15">
      <c r="A50" s="35" t="s">
        <v>432</v>
      </c>
      <c r="B50" s="35"/>
    </row>
    <row r="51" spans="1:2" ht="15">
      <c r="A51" s="35" t="s">
        <v>433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1.0338983050847457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1.0338983050847457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506</v>
      </c>
    </row>
    <row r="111" spans="1:2" ht="15">
      <c r="A111" s="34" t="s">
        <v>102</v>
      </c>
      <c r="B111" s="48">
        <f>_xlfn.IFERROR(AVERAGE(Vertices[Betweenness Centrality]),NoMetricMessage)</f>
        <v>5.830508483050847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0.196581</v>
      </c>
    </row>
    <row r="125" spans="1:2" ht="15">
      <c r="A125" s="34" t="s">
        <v>108</v>
      </c>
      <c r="B125" s="48">
        <f>_xlfn.IFERROR(AVERAGE(Vertices[Closeness Centrality]),NoMetricMessage)</f>
        <v>0.03704894067796612</v>
      </c>
    </row>
    <row r="126" spans="1:2" ht="15">
      <c r="A126" s="34" t="s">
        <v>109</v>
      </c>
      <c r="B126" s="48">
        <f>_xlfn.IFERROR(MEDIAN(Vertices[Closeness Centrality]),NoMetricMessage)</f>
        <v>0.023267</v>
      </c>
    </row>
    <row r="137" spans="1:2" ht="15">
      <c r="A137" s="34" t="s">
        <v>112</v>
      </c>
      <c r="B137" s="48">
        <f>IF(COUNT(Vertices[Eigenvector Centrality])&gt;0,N2,NoMetricMessage)</f>
        <v>0</v>
      </c>
    </row>
    <row r="138" spans="1:2" ht="15">
      <c r="A138" s="34" t="s">
        <v>113</v>
      </c>
      <c r="B138" s="48">
        <f>IF(COUNT(Vertices[Eigenvector Centrality])&gt;0,N36,NoMetricMessage)</f>
        <v>0.740666</v>
      </c>
    </row>
    <row r="139" spans="1:2" ht="15">
      <c r="A139" s="34" t="s">
        <v>114</v>
      </c>
      <c r="B139" s="48">
        <f>_xlfn.IFERROR(AVERAGE(Vertices[Eigenvector Centrality]),NoMetricMessage)</f>
        <v>0.03355410169491527</v>
      </c>
    </row>
    <row r="140" spans="1:2" ht="15">
      <c r="A140" s="34" t="s">
        <v>115</v>
      </c>
      <c r="B140" s="48">
        <f>_xlfn.IFERROR(MEDIAN(Vertices[Eigenvector Centrality]),NoMetricMessage)</f>
        <v>0</v>
      </c>
    </row>
    <row r="151" spans="1:2" ht="15">
      <c r="A151" s="34" t="s">
        <v>140</v>
      </c>
      <c r="B151" s="48">
        <f>IF(COUNT(Vertices[PageRank])&gt;0,P2,NoMetricMessage)</f>
        <v>0.007406</v>
      </c>
    </row>
    <row r="152" spans="1:2" ht="15">
      <c r="A152" s="34" t="s">
        <v>141</v>
      </c>
      <c r="B152" s="48">
        <f>IF(COUNT(Vertices[PageRank])&gt;0,P36,NoMetricMessage)</f>
        <v>0.032448</v>
      </c>
    </row>
    <row r="153" spans="1:2" ht="15">
      <c r="A153" s="34" t="s">
        <v>142</v>
      </c>
      <c r="B153" s="48">
        <f>_xlfn.IFERROR(AVERAGE(Vertices[PageRank]),NoMetricMessage)</f>
        <v>0.008474771186440685</v>
      </c>
    </row>
    <row r="154" spans="1:2" ht="15">
      <c r="A154" s="34" t="s">
        <v>143</v>
      </c>
      <c r="B154" s="48">
        <f>_xlfn.IFERROR(MEDIAN(Vertices[PageRank]),NoMetricMessage)</f>
        <v>0.008374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0.0980225988700565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2029</v>
      </c>
    </row>
    <row r="27" spans="10:11" ht="15">
      <c r="J27" t="s">
        <v>214</v>
      </c>
      <c r="K27" t="s">
        <v>2025</v>
      </c>
    </row>
    <row r="28" spans="10:11" ht="409.6">
      <c r="J28" t="s">
        <v>215</v>
      </c>
      <c r="K28" s="13" t="s">
        <v>2026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3987-14EE-44C9-84F9-16D06A0CBCCA}">
  <dimension ref="A1:G60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350</v>
      </c>
      <c r="B1" s="13" t="s">
        <v>384</v>
      </c>
      <c r="C1" s="13" t="s">
        <v>388</v>
      </c>
      <c r="D1" s="13" t="s">
        <v>144</v>
      </c>
      <c r="E1" s="13" t="s">
        <v>390</v>
      </c>
      <c r="F1" s="13" t="s">
        <v>391</v>
      </c>
      <c r="G1" s="13" t="s">
        <v>392</v>
      </c>
    </row>
    <row r="2" spans="1:7" ht="15">
      <c r="A2" s="67" t="s">
        <v>351</v>
      </c>
      <c r="B2" s="67" t="s">
        <v>385</v>
      </c>
      <c r="C2" s="86"/>
      <c r="D2" s="67"/>
      <c r="E2" s="67"/>
      <c r="F2" s="67"/>
      <c r="G2" s="67"/>
    </row>
    <row r="3" spans="1:7" ht="15">
      <c r="A3" s="68" t="s">
        <v>352</v>
      </c>
      <c r="B3" s="67" t="s">
        <v>386</v>
      </c>
      <c r="C3" s="86"/>
      <c r="D3" s="67"/>
      <c r="E3" s="67"/>
      <c r="F3" s="67"/>
      <c r="G3" s="67"/>
    </row>
    <row r="4" spans="1:7" ht="15">
      <c r="A4" s="68" t="s">
        <v>353</v>
      </c>
      <c r="B4" s="67" t="s">
        <v>387</v>
      </c>
      <c r="C4" s="86"/>
      <c r="D4" s="67"/>
      <c r="E4" s="67"/>
      <c r="F4" s="67"/>
      <c r="G4" s="67"/>
    </row>
    <row r="5" spans="1:7" ht="15">
      <c r="A5" s="68" t="s">
        <v>354</v>
      </c>
      <c r="B5" s="67">
        <v>115</v>
      </c>
      <c r="C5" s="86">
        <v>0.029456967213114752</v>
      </c>
      <c r="D5" s="67"/>
      <c r="E5" s="67"/>
      <c r="F5" s="67"/>
      <c r="G5" s="67"/>
    </row>
    <row r="6" spans="1:7" ht="15">
      <c r="A6" s="68" t="s">
        <v>355</v>
      </c>
      <c r="B6" s="67">
        <v>18</v>
      </c>
      <c r="C6" s="86">
        <v>0.004610655737704918</v>
      </c>
      <c r="D6" s="67"/>
      <c r="E6" s="67"/>
      <c r="F6" s="67"/>
      <c r="G6" s="67"/>
    </row>
    <row r="7" spans="1:7" ht="15">
      <c r="A7" s="68" t="s">
        <v>356</v>
      </c>
      <c r="B7" s="67">
        <v>0</v>
      </c>
      <c r="C7" s="86">
        <v>0</v>
      </c>
      <c r="D7" s="67"/>
      <c r="E7" s="67"/>
      <c r="F7" s="67"/>
      <c r="G7" s="67"/>
    </row>
    <row r="8" spans="1:7" ht="15">
      <c r="A8" s="68" t="s">
        <v>357</v>
      </c>
      <c r="B8" s="67">
        <v>3771</v>
      </c>
      <c r="C8" s="86">
        <v>0.9659323770491803</v>
      </c>
      <c r="D8" s="67"/>
      <c r="E8" s="67"/>
      <c r="F8" s="67"/>
      <c r="G8" s="67"/>
    </row>
    <row r="9" spans="1:7" ht="15">
      <c r="A9" s="68" t="s">
        <v>358</v>
      </c>
      <c r="B9" s="67">
        <v>3904</v>
      </c>
      <c r="C9" s="86">
        <v>1</v>
      </c>
      <c r="D9" s="67"/>
      <c r="E9" s="67"/>
      <c r="F9" s="67"/>
      <c r="G9" s="67"/>
    </row>
    <row r="10" spans="1:7" ht="15">
      <c r="A10" s="73" t="s">
        <v>363</v>
      </c>
      <c r="B10" s="76">
        <v>125</v>
      </c>
      <c r="C10" s="87">
        <v>0.0006401452708775421</v>
      </c>
      <c r="D10" s="76" t="s">
        <v>389</v>
      </c>
      <c r="E10" s="76" t="b">
        <v>0</v>
      </c>
      <c r="F10" s="76" t="b">
        <v>0</v>
      </c>
      <c r="G10" s="76" t="b">
        <v>0</v>
      </c>
    </row>
    <row r="11" spans="1:7" ht="15">
      <c r="A11" s="73" t="s">
        <v>360</v>
      </c>
      <c r="B11" s="76">
        <v>99</v>
      </c>
      <c r="C11" s="87">
        <v>0.0017486690245504502</v>
      </c>
      <c r="D11" s="76" t="s">
        <v>389</v>
      </c>
      <c r="E11" s="76" t="b">
        <v>0</v>
      </c>
      <c r="F11" s="76" t="b">
        <v>0</v>
      </c>
      <c r="G11" s="76" t="b">
        <v>0</v>
      </c>
    </row>
    <row r="12" spans="1:7" ht="15">
      <c r="A12" s="73" t="s">
        <v>362</v>
      </c>
      <c r="B12" s="76">
        <v>94</v>
      </c>
      <c r="C12" s="87">
        <v>0.0023724632806201764</v>
      </c>
      <c r="D12" s="76" t="s">
        <v>389</v>
      </c>
      <c r="E12" s="76" t="b">
        <v>0</v>
      </c>
      <c r="F12" s="76" t="b">
        <v>0</v>
      </c>
      <c r="G12" s="76" t="b">
        <v>0</v>
      </c>
    </row>
    <row r="13" spans="1:7" ht="15">
      <c r="A13" s="73" t="s">
        <v>1491</v>
      </c>
      <c r="B13" s="76">
        <v>50</v>
      </c>
      <c r="C13" s="87">
        <v>0.011344957338900733</v>
      </c>
      <c r="D13" s="76" t="s">
        <v>389</v>
      </c>
      <c r="E13" s="76" t="b">
        <v>0</v>
      </c>
      <c r="F13" s="76" t="b">
        <v>0</v>
      </c>
      <c r="G13" s="76" t="b">
        <v>0</v>
      </c>
    </row>
    <row r="14" spans="1:7" ht="15">
      <c r="A14" s="73" t="s">
        <v>1492</v>
      </c>
      <c r="B14" s="76">
        <v>46</v>
      </c>
      <c r="C14" s="87">
        <v>0.010171868459474261</v>
      </c>
      <c r="D14" s="76" t="s">
        <v>389</v>
      </c>
      <c r="E14" s="76" t="b">
        <v>0</v>
      </c>
      <c r="F14" s="76" t="b">
        <v>0</v>
      </c>
      <c r="G14" s="76" t="b">
        <v>0</v>
      </c>
    </row>
    <row r="15" spans="1:7" ht="15">
      <c r="A15" s="73" t="s">
        <v>720</v>
      </c>
      <c r="B15" s="76">
        <v>31</v>
      </c>
      <c r="C15" s="87">
        <v>0.007033873550118454</v>
      </c>
      <c r="D15" s="76" t="s">
        <v>389</v>
      </c>
      <c r="E15" s="76" t="b">
        <v>0</v>
      </c>
      <c r="F15" s="76" t="b">
        <v>0</v>
      </c>
      <c r="G15" s="76" t="b">
        <v>0</v>
      </c>
    </row>
    <row r="16" spans="1:7" ht="15">
      <c r="A16" s="73" t="s">
        <v>373</v>
      </c>
      <c r="B16" s="76">
        <v>28</v>
      </c>
      <c r="C16" s="87">
        <v>0.007056374950683527</v>
      </c>
      <c r="D16" s="76" t="s">
        <v>389</v>
      </c>
      <c r="E16" s="76" t="b">
        <v>0</v>
      </c>
      <c r="F16" s="76" t="b">
        <v>0</v>
      </c>
      <c r="G16" s="76" t="b">
        <v>0</v>
      </c>
    </row>
    <row r="17" spans="1:7" ht="15">
      <c r="A17" s="73" t="s">
        <v>1493</v>
      </c>
      <c r="B17" s="76">
        <v>26</v>
      </c>
      <c r="C17" s="87">
        <v>0.006730728587450576</v>
      </c>
      <c r="D17" s="76" t="s">
        <v>389</v>
      </c>
      <c r="E17" s="76" t="b">
        <v>0</v>
      </c>
      <c r="F17" s="76" t="b">
        <v>0</v>
      </c>
      <c r="G17" s="76" t="b">
        <v>0</v>
      </c>
    </row>
    <row r="18" spans="1:7" ht="15">
      <c r="A18" s="73" t="s">
        <v>1494</v>
      </c>
      <c r="B18" s="76">
        <v>26</v>
      </c>
      <c r="C18" s="87">
        <v>0.010006902671696499</v>
      </c>
      <c r="D18" s="76" t="s">
        <v>389</v>
      </c>
      <c r="E18" s="76" t="b">
        <v>0</v>
      </c>
      <c r="F18" s="76" t="b">
        <v>0</v>
      </c>
      <c r="G18" s="76" t="b">
        <v>0</v>
      </c>
    </row>
    <row r="19" spans="1:7" ht="15">
      <c r="A19" s="73" t="s">
        <v>1495</v>
      </c>
      <c r="B19" s="76">
        <v>26</v>
      </c>
      <c r="C19" s="87">
        <v>0.010006902671696499</v>
      </c>
      <c r="D19" s="76" t="s">
        <v>389</v>
      </c>
      <c r="E19" s="76" t="b">
        <v>0</v>
      </c>
      <c r="F19" s="76" t="b">
        <v>0</v>
      </c>
      <c r="G19" s="76" t="b">
        <v>0</v>
      </c>
    </row>
    <row r="20" spans="1:7" ht="15">
      <c r="A20" s="73" t="s">
        <v>1496</v>
      </c>
      <c r="B20" s="76">
        <v>26</v>
      </c>
      <c r="C20" s="87">
        <v>0.010006902671696499</v>
      </c>
      <c r="D20" s="76" t="s">
        <v>389</v>
      </c>
      <c r="E20" s="76" t="b">
        <v>0</v>
      </c>
      <c r="F20" s="76" t="b">
        <v>0</v>
      </c>
      <c r="G20" s="76" t="b">
        <v>0</v>
      </c>
    </row>
    <row r="21" spans="1:7" ht="15">
      <c r="A21" s="73" t="s">
        <v>1497</v>
      </c>
      <c r="B21" s="76">
        <v>25</v>
      </c>
      <c r="C21" s="87">
        <v>0.0066501019968073696</v>
      </c>
      <c r="D21" s="76" t="s">
        <v>389</v>
      </c>
      <c r="E21" s="76" t="b">
        <v>0</v>
      </c>
      <c r="F21" s="76" t="b">
        <v>0</v>
      </c>
      <c r="G21" s="76" t="b">
        <v>0</v>
      </c>
    </row>
    <row r="22" spans="1:7" ht="15">
      <c r="A22" s="73" t="s">
        <v>379</v>
      </c>
      <c r="B22" s="76">
        <v>24</v>
      </c>
      <c r="C22" s="87">
        <v>0.007144791568887706</v>
      </c>
      <c r="D22" s="76" t="s">
        <v>389</v>
      </c>
      <c r="E22" s="76" t="b">
        <v>0</v>
      </c>
      <c r="F22" s="76" t="b">
        <v>0</v>
      </c>
      <c r="G22" s="76" t="b">
        <v>0</v>
      </c>
    </row>
    <row r="23" spans="1:7" ht="15">
      <c r="A23" s="73" t="s">
        <v>1498</v>
      </c>
      <c r="B23" s="76">
        <v>20</v>
      </c>
      <c r="C23" s="87">
        <v>0.007697617439766537</v>
      </c>
      <c r="D23" s="76" t="s">
        <v>389</v>
      </c>
      <c r="E23" s="76" t="b">
        <v>0</v>
      </c>
      <c r="F23" s="76" t="b">
        <v>0</v>
      </c>
      <c r="G23" s="76" t="b">
        <v>0</v>
      </c>
    </row>
    <row r="24" spans="1:7" ht="15">
      <c r="A24" s="73" t="s">
        <v>1499</v>
      </c>
      <c r="B24" s="76">
        <v>19</v>
      </c>
      <c r="C24" s="87">
        <v>0.0060019811369394285</v>
      </c>
      <c r="D24" s="76" t="s">
        <v>389</v>
      </c>
      <c r="E24" s="76" t="b">
        <v>0</v>
      </c>
      <c r="F24" s="76" t="b">
        <v>0</v>
      </c>
      <c r="G24" s="76" t="b">
        <v>0</v>
      </c>
    </row>
    <row r="25" spans="1:7" ht="15">
      <c r="A25" s="73" t="s">
        <v>1500</v>
      </c>
      <c r="B25" s="76">
        <v>18</v>
      </c>
      <c r="C25" s="87">
        <v>0.005863006490960897</v>
      </c>
      <c r="D25" s="76" t="s">
        <v>389</v>
      </c>
      <c r="E25" s="76" t="b">
        <v>0</v>
      </c>
      <c r="F25" s="76" t="b">
        <v>0</v>
      </c>
      <c r="G25" s="76" t="b">
        <v>0</v>
      </c>
    </row>
    <row r="26" spans="1:7" ht="15">
      <c r="A26" s="73" t="s">
        <v>1501</v>
      </c>
      <c r="B26" s="76">
        <v>17</v>
      </c>
      <c r="C26" s="87">
        <v>0.005713927241459811</v>
      </c>
      <c r="D26" s="76" t="s">
        <v>389</v>
      </c>
      <c r="E26" s="76" t="b">
        <v>0</v>
      </c>
      <c r="F26" s="76" t="b">
        <v>0</v>
      </c>
      <c r="G26" s="76" t="b">
        <v>0</v>
      </c>
    </row>
    <row r="27" spans="1:7" ht="15">
      <c r="A27" s="73" t="s">
        <v>1502</v>
      </c>
      <c r="B27" s="76">
        <v>17</v>
      </c>
      <c r="C27" s="87">
        <v>0.005713927241459811</v>
      </c>
      <c r="D27" s="76" t="s">
        <v>389</v>
      </c>
      <c r="E27" s="76" t="b">
        <v>1</v>
      </c>
      <c r="F27" s="76" t="b">
        <v>0</v>
      </c>
      <c r="G27" s="76" t="b">
        <v>0</v>
      </c>
    </row>
    <row r="28" spans="1:7" ht="15">
      <c r="A28" s="73" t="s">
        <v>1503</v>
      </c>
      <c r="B28" s="76">
        <v>16</v>
      </c>
      <c r="C28" s="87">
        <v>0.005741866866011008</v>
      </c>
      <c r="D28" s="76" t="s">
        <v>389</v>
      </c>
      <c r="E28" s="76" t="b">
        <v>0</v>
      </c>
      <c r="F28" s="76" t="b">
        <v>0</v>
      </c>
      <c r="G28" s="76" t="b">
        <v>0</v>
      </c>
    </row>
    <row r="29" spans="1:7" ht="15">
      <c r="A29" s="73" t="s">
        <v>1504</v>
      </c>
      <c r="B29" s="76">
        <v>16</v>
      </c>
      <c r="C29" s="87">
        <v>0.0055541483320621175</v>
      </c>
      <c r="D29" s="76" t="s">
        <v>389</v>
      </c>
      <c r="E29" s="76" t="b">
        <v>0</v>
      </c>
      <c r="F29" s="76" t="b">
        <v>0</v>
      </c>
      <c r="G29" s="76" t="b">
        <v>0</v>
      </c>
    </row>
    <row r="30" spans="1:7" ht="15">
      <c r="A30" s="73" t="s">
        <v>1505</v>
      </c>
      <c r="B30" s="76">
        <v>15</v>
      </c>
      <c r="C30" s="87">
        <v>0.0053830001868853195</v>
      </c>
      <c r="D30" s="76" t="s">
        <v>389</v>
      </c>
      <c r="E30" s="76" t="b">
        <v>0</v>
      </c>
      <c r="F30" s="76" t="b">
        <v>0</v>
      </c>
      <c r="G30" s="76" t="b">
        <v>0</v>
      </c>
    </row>
    <row r="31" spans="1:7" ht="15">
      <c r="A31" s="73" t="s">
        <v>1506</v>
      </c>
      <c r="B31" s="76">
        <v>15</v>
      </c>
      <c r="C31" s="87">
        <v>0.0053830001868853195</v>
      </c>
      <c r="D31" s="76" t="s">
        <v>389</v>
      </c>
      <c r="E31" s="76" t="b">
        <v>0</v>
      </c>
      <c r="F31" s="76" t="b">
        <v>0</v>
      </c>
      <c r="G31" s="76" t="b">
        <v>0</v>
      </c>
    </row>
    <row r="32" spans="1:7" ht="15">
      <c r="A32" s="73" t="s">
        <v>1507</v>
      </c>
      <c r="B32" s="76">
        <v>15</v>
      </c>
      <c r="C32" s="87">
        <v>0.0053830001868853195</v>
      </c>
      <c r="D32" s="76" t="s">
        <v>389</v>
      </c>
      <c r="E32" s="76" t="b">
        <v>0</v>
      </c>
      <c r="F32" s="76" t="b">
        <v>0</v>
      </c>
      <c r="G32" s="76" t="b">
        <v>0</v>
      </c>
    </row>
    <row r="33" spans="1:7" ht="15">
      <c r="A33" s="73" t="s">
        <v>1508</v>
      </c>
      <c r="B33" s="76">
        <v>15</v>
      </c>
      <c r="C33" s="87">
        <v>0.0053830001868853195</v>
      </c>
      <c r="D33" s="76" t="s">
        <v>389</v>
      </c>
      <c r="E33" s="76" t="b">
        <v>0</v>
      </c>
      <c r="F33" s="76" t="b">
        <v>0</v>
      </c>
      <c r="G33" s="76" t="b">
        <v>0</v>
      </c>
    </row>
    <row r="34" spans="1:7" ht="15">
      <c r="A34" s="73" t="s">
        <v>1509</v>
      </c>
      <c r="B34" s="76">
        <v>15</v>
      </c>
      <c r="C34" s="87">
        <v>0.0053830001868853195</v>
      </c>
      <c r="D34" s="76" t="s">
        <v>389</v>
      </c>
      <c r="E34" s="76" t="b">
        <v>0</v>
      </c>
      <c r="F34" s="76" t="b">
        <v>0</v>
      </c>
      <c r="G34" s="76" t="b">
        <v>0</v>
      </c>
    </row>
    <row r="35" spans="1:7" ht="15">
      <c r="A35" s="73" t="s">
        <v>1510</v>
      </c>
      <c r="B35" s="76">
        <v>15</v>
      </c>
      <c r="C35" s="87">
        <v>0.0053830001868853195</v>
      </c>
      <c r="D35" s="76" t="s">
        <v>389</v>
      </c>
      <c r="E35" s="76" t="b">
        <v>0</v>
      </c>
      <c r="F35" s="76" t="b">
        <v>0</v>
      </c>
      <c r="G35" s="76" t="b">
        <v>0</v>
      </c>
    </row>
    <row r="36" spans="1:7" ht="15">
      <c r="A36" s="73" t="s">
        <v>1511</v>
      </c>
      <c r="B36" s="76">
        <v>15</v>
      </c>
      <c r="C36" s="87">
        <v>0.0053830001868853195</v>
      </c>
      <c r="D36" s="76" t="s">
        <v>389</v>
      </c>
      <c r="E36" s="76" t="b">
        <v>0</v>
      </c>
      <c r="F36" s="76" t="b">
        <v>0</v>
      </c>
      <c r="G36" s="76" t="b">
        <v>0</v>
      </c>
    </row>
    <row r="37" spans="1:7" ht="15">
      <c r="A37" s="73" t="s">
        <v>1512</v>
      </c>
      <c r="B37" s="76">
        <v>15</v>
      </c>
      <c r="C37" s="87">
        <v>0.0053830001868853195</v>
      </c>
      <c r="D37" s="76" t="s">
        <v>389</v>
      </c>
      <c r="E37" s="76" t="b">
        <v>0</v>
      </c>
      <c r="F37" s="76" t="b">
        <v>0</v>
      </c>
      <c r="G37" s="76" t="b">
        <v>0</v>
      </c>
    </row>
    <row r="38" spans="1:7" ht="15">
      <c r="A38" s="73" t="s">
        <v>368</v>
      </c>
      <c r="B38" s="76">
        <v>14</v>
      </c>
      <c r="C38" s="87">
        <v>0.005592044843930744</v>
      </c>
      <c r="D38" s="76" t="s">
        <v>389</v>
      </c>
      <c r="E38" s="76" t="b">
        <v>0</v>
      </c>
      <c r="F38" s="76" t="b">
        <v>0</v>
      </c>
      <c r="G38" s="76" t="b">
        <v>0</v>
      </c>
    </row>
    <row r="39" spans="1:7" ht="15">
      <c r="A39" s="73" t="s">
        <v>1513</v>
      </c>
      <c r="B39" s="76">
        <v>14</v>
      </c>
      <c r="C39" s="87">
        <v>0.005199723766145652</v>
      </c>
      <c r="D39" s="76" t="s">
        <v>389</v>
      </c>
      <c r="E39" s="76" t="b">
        <v>0</v>
      </c>
      <c r="F39" s="76" t="b">
        <v>0</v>
      </c>
      <c r="G39" s="76" t="b">
        <v>0</v>
      </c>
    </row>
    <row r="40" spans="1:7" ht="15">
      <c r="A40" s="73" t="s">
        <v>1514</v>
      </c>
      <c r="B40" s="76">
        <v>14</v>
      </c>
      <c r="C40" s="87">
        <v>0.005199723766145652</v>
      </c>
      <c r="D40" s="76" t="s">
        <v>389</v>
      </c>
      <c r="E40" s="76" t="b">
        <v>0</v>
      </c>
      <c r="F40" s="76" t="b">
        <v>0</v>
      </c>
      <c r="G40" s="76" t="b">
        <v>0</v>
      </c>
    </row>
    <row r="41" spans="1:7" ht="15">
      <c r="A41" s="73" t="s">
        <v>1515</v>
      </c>
      <c r="B41" s="76">
        <v>14</v>
      </c>
      <c r="C41" s="87">
        <v>0.005199723766145652</v>
      </c>
      <c r="D41" s="76" t="s">
        <v>389</v>
      </c>
      <c r="E41" s="76" t="b">
        <v>0</v>
      </c>
      <c r="F41" s="76" t="b">
        <v>0</v>
      </c>
      <c r="G41" s="76" t="b">
        <v>0</v>
      </c>
    </row>
    <row r="42" spans="1:7" ht="15">
      <c r="A42" s="73" t="s">
        <v>1516</v>
      </c>
      <c r="B42" s="76">
        <v>14</v>
      </c>
      <c r="C42" s="87">
        <v>0.005199723766145652</v>
      </c>
      <c r="D42" s="76" t="s">
        <v>389</v>
      </c>
      <c r="E42" s="76" t="b">
        <v>0</v>
      </c>
      <c r="F42" s="76" t="b">
        <v>0</v>
      </c>
      <c r="G42" s="76" t="b">
        <v>0</v>
      </c>
    </row>
    <row r="43" spans="1:7" ht="15">
      <c r="A43" s="73" t="s">
        <v>1517</v>
      </c>
      <c r="B43" s="76">
        <v>14</v>
      </c>
      <c r="C43" s="87">
        <v>0.005199723766145652</v>
      </c>
      <c r="D43" s="76" t="s">
        <v>389</v>
      </c>
      <c r="E43" s="76" t="b">
        <v>0</v>
      </c>
      <c r="F43" s="76" t="b">
        <v>0</v>
      </c>
      <c r="G43" s="76" t="b">
        <v>0</v>
      </c>
    </row>
    <row r="44" spans="1:7" ht="15">
      <c r="A44" s="73" t="s">
        <v>1518</v>
      </c>
      <c r="B44" s="76">
        <v>14</v>
      </c>
      <c r="C44" s="87">
        <v>0.005199723766145652</v>
      </c>
      <c r="D44" s="76" t="s">
        <v>389</v>
      </c>
      <c r="E44" s="76" t="b">
        <v>1</v>
      </c>
      <c r="F44" s="76" t="b">
        <v>0</v>
      </c>
      <c r="G44" s="76" t="b">
        <v>0</v>
      </c>
    </row>
    <row r="45" spans="1:7" ht="15">
      <c r="A45" s="73" t="s">
        <v>1519</v>
      </c>
      <c r="B45" s="76">
        <v>14</v>
      </c>
      <c r="C45" s="87">
        <v>0.005199723766145652</v>
      </c>
      <c r="D45" s="76" t="s">
        <v>389</v>
      </c>
      <c r="E45" s="76" t="b">
        <v>0</v>
      </c>
      <c r="F45" s="76" t="b">
        <v>0</v>
      </c>
      <c r="G45" s="76" t="b">
        <v>0</v>
      </c>
    </row>
    <row r="46" spans="1:7" ht="15">
      <c r="A46" s="73" t="s">
        <v>1520</v>
      </c>
      <c r="B46" s="76">
        <v>14</v>
      </c>
      <c r="C46" s="87">
        <v>0.005199723766145652</v>
      </c>
      <c r="D46" s="76" t="s">
        <v>389</v>
      </c>
      <c r="E46" s="76" t="b">
        <v>0</v>
      </c>
      <c r="F46" s="76" t="b">
        <v>0</v>
      </c>
      <c r="G46" s="76" t="b">
        <v>0</v>
      </c>
    </row>
    <row r="47" spans="1:7" ht="15">
      <c r="A47" s="73" t="s">
        <v>1521</v>
      </c>
      <c r="B47" s="76">
        <v>14</v>
      </c>
      <c r="C47" s="87">
        <v>0.005199723766145652</v>
      </c>
      <c r="D47" s="76" t="s">
        <v>389</v>
      </c>
      <c r="E47" s="76" t="b">
        <v>0</v>
      </c>
      <c r="F47" s="76" t="b">
        <v>0</v>
      </c>
      <c r="G47" s="76" t="b">
        <v>0</v>
      </c>
    </row>
    <row r="48" spans="1:7" ht="15">
      <c r="A48" s="73" t="s">
        <v>1522</v>
      </c>
      <c r="B48" s="76">
        <v>14</v>
      </c>
      <c r="C48" s="87">
        <v>0.005199723766145652</v>
      </c>
      <c r="D48" s="76" t="s">
        <v>389</v>
      </c>
      <c r="E48" s="76" t="b">
        <v>0</v>
      </c>
      <c r="F48" s="76" t="b">
        <v>0</v>
      </c>
      <c r="G48" s="76" t="b">
        <v>0</v>
      </c>
    </row>
    <row r="49" spans="1:7" ht="15">
      <c r="A49" s="73" t="s">
        <v>1523</v>
      </c>
      <c r="B49" s="76">
        <v>14</v>
      </c>
      <c r="C49" s="87">
        <v>0.005199723766145652</v>
      </c>
      <c r="D49" s="76" t="s">
        <v>389</v>
      </c>
      <c r="E49" s="76" t="b">
        <v>0</v>
      </c>
      <c r="F49" s="76" t="b">
        <v>0</v>
      </c>
      <c r="G49" s="76" t="b">
        <v>0</v>
      </c>
    </row>
    <row r="50" spans="1:7" ht="15">
      <c r="A50" s="73" t="s">
        <v>1524</v>
      </c>
      <c r="B50" s="76">
        <v>14</v>
      </c>
      <c r="C50" s="87">
        <v>0.005199723766145652</v>
      </c>
      <c r="D50" s="76" t="s">
        <v>389</v>
      </c>
      <c r="E50" s="76" t="b">
        <v>0</v>
      </c>
      <c r="F50" s="76" t="b">
        <v>0</v>
      </c>
      <c r="G50" s="76" t="b">
        <v>0</v>
      </c>
    </row>
    <row r="51" spans="1:7" ht="15">
      <c r="A51" s="73" t="s">
        <v>359</v>
      </c>
      <c r="B51" s="76">
        <v>14</v>
      </c>
      <c r="C51" s="87">
        <v>0.010152161003566999</v>
      </c>
      <c r="D51" s="76" t="s">
        <v>389</v>
      </c>
      <c r="E51" s="76" t="b">
        <v>0</v>
      </c>
      <c r="F51" s="76" t="b">
        <v>0</v>
      </c>
      <c r="G51" s="76" t="b">
        <v>0</v>
      </c>
    </row>
    <row r="52" spans="1:7" ht="15">
      <c r="A52" s="73" t="s">
        <v>1525</v>
      </c>
      <c r="B52" s="76">
        <v>14</v>
      </c>
      <c r="C52" s="87">
        <v>0.005199723766145652</v>
      </c>
      <c r="D52" s="76" t="s">
        <v>389</v>
      </c>
      <c r="E52" s="76" t="b">
        <v>0</v>
      </c>
      <c r="F52" s="76" t="b">
        <v>0</v>
      </c>
      <c r="G52" s="76" t="b">
        <v>0</v>
      </c>
    </row>
    <row r="53" spans="1:7" ht="15">
      <c r="A53" s="73" t="s">
        <v>1526</v>
      </c>
      <c r="B53" s="76">
        <v>14</v>
      </c>
      <c r="C53" s="87">
        <v>0.006963817503816534</v>
      </c>
      <c r="D53" s="76" t="s">
        <v>389</v>
      </c>
      <c r="E53" s="76" t="b">
        <v>0</v>
      </c>
      <c r="F53" s="76" t="b">
        <v>0</v>
      </c>
      <c r="G53" s="76" t="b">
        <v>0</v>
      </c>
    </row>
    <row r="54" spans="1:7" ht="15">
      <c r="A54" s="73" t="s">
        <v>370</v>
      </c>
      <c r="B54" s="76">
        <v>13</v>
      </c>
      <c r="C54" s="87">
        <v>0.005003451335848249</v>
      </c>
      <c r="D54" s="76" t="s">
        <v>389</v>
      </c>
      <c r="E54" s="76" t="b">
        <v>0</v>
      </c>
      <c r="F54" s="76" t="b">
        <v>0</v>
      </c>
      <c r="G54" s="76" t="b">
        <v>0</v>
      </c>
    </row>
    <row r="55" spans="1:7" ht="15">
      <c r="A55" s="73" t="s">
        <v>1527</v>
      </c>
      <c r="B55" s="76">
        <v>13</v>
      </c>
      <c r="C55" s="87">
        <v>0.005003451335848249</v>
      </c>
      <c r="D55" s="76" t="s">
        <v>389</v>
      </c>
      <c r="E55" s="76" t="b">
        <v>0</v>
      </c>
      <c r="F55" s="76" t="b">
        <v>0</v>
      </c>
      <c r="G55" s="76" t="b">
        <v>0</v>
      </c>
    </row>
    <row r="56" spans="1:7" ht="15">
      <c r="A56" s="73" t="s">
        <v>1528</v>
      </c>
      <c r="B56" s="76">
        <v>13</v>
      </c>
      <c r="C56" s="87">
        <v>0.005003451335848249</v>
      </c>
      <c r="D56" s="76" t="s">
        <v>389</v>
      </c>
      <c r="E56" s="76" t="b">
        <v>0</v>
      </c>
      <c r="F56" s="76" t="b">
        <v>0</v>
      </c>
      <c r="G56" s="76" t="b">
        <v>0</v>
      </c>
    </row>
    <row r="57" spans="1:7" ht="15">
      <c r="A57" s="73" t="s">
        <v>1529</v>
      </c>
      <c r="B57" s="76">
        <v>13</v>
      </c>
      <c r="C57" s="87">
        <v>0.005003451335848249</v>
      </c>
      <c r="D57" s="76" t="s">
        <v>389</v>
      </c>
      <c r="E57" s="76" t="b">
        <v>0</v>
      </c>
      <c r="F57" s="76" t="b">
        <v>0</v>
      </c>
      <c r="G57" s="76" t="b">
        <v>0</v>
      </c>
    </row>
    <row r="58" spans="1:7" ht="15">
      <c r="A58" s="73" t="s">
        <v>1530</v>
      </c>
      <c r="B58" s="76">
        <v>13</v>
      </c>
      <c r="C58" s="87">
        <v>0.005003451335848249</v>
      </c>
      <c r="D58" s="76" t="s">
        <v>389</v>
      </c>
      <c r="E58" s="76" t="b">
        <v>0</v>
      </c>
      <c r="F58" s="76" t="b">
        <v>0</v>
      </c>
      <c r="G58" s="76" t="b">
        <v>0</v>
      </c>
    </row>
    <row r="59" spans="1:7" ht="15">
      <c r="A59" s="73" t="s">
        <v>1531</v>
      </c>
      <c r="B59" s="76">
        <v>13</v>
      </c>
      <c r="C59" s="87">
        <v>0.005003451335848249</v>
      </c>
      <c r="D59" s="76" t="s">
        <v>389</v>
      </c>
      <c r="E59" s="76" t="b">
        <v>0</v>
      </c>
      <c r="F59" s="76" t="b">
        <v>0</v>
      </c>
      <c r="G59" s="76" t="b">
        <v>0</v>
      </c>
    </row>
    <row r="60" spans="1:7" ht="15">
      <c r="A60" s="73" t="s">
        <v>1532</v>
      </c>
      <c r="B60" s="76">
        <v>13</v>
      </c>
      <c r="C60" s="87">
        <v>0.005003451335848249</v>
      </c>
      <c r="D60" s="76" t="s">
        <v>389</v>
      </c>
      <c r="E60" s="76" t="b">
        <v>0</v>
      </c>
      <c r="F60" s="76" t="b">
        <v>0</v>
      </c>
      <c r="G60" s="76" t="b">
        <v>0</v>
      </c>
    </row>
    <row r="61" spans="1:7" ht="15">
      <c r="A61" s="73" t="s">
        <v>1533</v>
      </c>
      <c r="B61" s="76">
        <v>13</v>
      </c>
      <c r="C61" s="87">
        <v>0.005003451335848249</v>
      </c>
      <c r="D61" s="76" t="s">
        <v>389</v>
      </c>
      <c r="E61" s="76" t="b">
        <v>0</v>
      </c>
      <c r="F61" s="76" t="b">
        <v>0</v>
      </c>
      <c r="G61" s="76" t="b">
        <v>0</v>
      </c>
    </row>
    <row r="62" spans="1:7" ht="15">
      <c r="A62" s="73" t="s">
        <v>1534</v>
      </c>
      <c r="B62" s="76">
        <v>13</v>
      </c>
      <c r="C62" s="87">
        <v>0.005003451335848249</v>
      </c>
      <c r="D62" s="76" t="s">
        <v>389</v>
      </c>
      <c r="E62" s="76" t="b">
        <v>0</v>
      </c>
      <c r="F62" s="76" t="b">
        <v>0</v>
      </c>
      <c r="G62" s="76" t="b">
        <v>0</v>
      </c>
    </row>
    <row r="63" spans="1:7" ht="15">
      <c r="A63" s="73" t="s">
        <v>1535</v>
      </c>
      <c r="B63" s="76">
        <v>13</v>
      </c>
      <c r="C63" s="87">
        <v>0.005003451335848249</v>
      </c>
      <c r="D63" s="76" t="s">
        <v>389</v>
      </c>
      <c r="E63" s="76" t="b">
        <v>0</v>
      </c>
      <c r="F63" s="76" t="b">
        <v>0</v>
      </c>
      <c r="G63" s="76" t="b">
        <v>0</v>
      </c>
    </row>
    <row r="64" spans="1:7" ht="15">
      <c r="A64" s="73" t="s">
        <v>1536</v>
      </c>
      <c r="B64" s="76">
        <v>13</v>
      </c>
      <c r="C64" s="87">
        <v>0.005003451335848249</v>
      </c>
      <c r="D64" s="76" t="s">
        <v>389</v>
      </c>
      <c r="E64" s="76" t="b">
        <v>0</v>
      </c>
      <c r="F64" s="76" t="b">
        <v>0</v>
      </c>
      <c r="G64" s="76" t="b">
        <v>0</v>
      </c>
    </row>
    <row r="65" spans="1:7" ht="15">
      <c r="A65" s="73" t="s">
        <v>1537</v>
      </c>
      <c r="B65" s="76">
        <v>13</v>
      </c>
      <c r="C65" s="87">
        <v>0.005003451335848249</v>
      </c>
      <c r="D65" s="76" t="s">
        <v>389</v>
      </c>
      <c r="E65" s="76" t="b">
        <v>0</v>
      </c>
      <c r="F65" s="76" t="b">
        <v>0</v>
      </c>
      <c r="G65" s="76" t="b">
        <v>0</v>
      </c>
    </row>
    <row r="66" spans="1:7" ht="15">
      <c r="A66" s="73" t="s">
        <v>1538</v>
      </c>
      <c r="B66" s="76">
        <v>12</v>
      </c>
      <c r="C66" s="87">
        <v>0.004793181294797781</v>
      </c>
      <c r="D66" s="76" t="s">
        <v>389</v>
      </c>
      <c r="E66" s="76" t="b">
        <v>0</v>
      </c>
      <c r="F66" s="76" t="b">
        <v>0</v>
      </c>
      <c r="G66" s="76" t="b">
        <v>0</v>
      </c>
    </row>
    <row r="67" spans="1:7" ht="15">
      <c r="A67" s="73" t="s">
        <v>1539</v>
      </c>
      <c r="B67" s="76">
        <v>12</v>
      </c>
      <c r="C67" s="87">
        <v>0.004793181294797781</v>
      </c>
      <c r="D67" s="76" t="s">
        <v>389</v>
      </c>
      <c r="E67" s="76" t="b">
        <v>0</v>
      </c>
      <c r="F67" s="76" t="b">
        <v>0</v>
      </c>
      <c r="G67" s="76" t="b">
        <v>0</v>
      </c>
    </row>
    <row r="68" spans="1:7" ht="15">
      <c r="A68" s="73" t="s">
        <v>1540</v>
      </c>
      <c r="B68" s="76">
        <v>12</v>
      </c>
      <c r="C68" s="87">
        <v>0.004793181294797781</v>
      </c>
      <c r="D68" s="76" t="s">
        <v>389</v>
      </c>
      <c r="E68" s="76" t="b">
        <v>0</v>
      </c>
      <c r="F68" s="76" t="b">
        <v>0</v>
      </c>
      <c r="G68" s="76" t="b">
        <v>0</v>
      </c>
    </row>
    <row r="69" spans="1:7" ht="15">
      <c r="A69" s="73" t="s">
        <v>1541</v>
      </c>
      <c r="B69" s="76">
        <v>12</v>
      </c>
      <c r="C69" s="87">
        <v>0.004793181294797781</v>
      </c>
      <c r="D69" s="76" t="s">
        <v>389</v>
      </c>
      <c r="E69" s="76" t="b">
        <v>0</v>
      </c>
      <c r="F69" s="76" t="b">
        <v>0</v>
      </c>
      <c r="G69" s="76" t="b">
        <v>0</v>
      </c>
    </row>
    <row r="70" spans="1:7" ht="15">
      <c r="A70" s="73" t="s">
        <v>1542</v>
      </c>
      <c r="B70" s="76">
        <v>12</v>
      </c>
      <c r="C70" s="87">
        <v>0.004793181294797781</v>
      </c>
      <c r="D70" s="76" t="s">
        <v>389</v>
      </c>
      <c r="E70" s="76" t="b">
        <v>0</v>
      </c>
      <c r="F70" s="76" t="b">
        <v>0</v>
      </c>
      <c r="G70" s="76" t="b">
        <v>0</v>
      </c>
    </row>
    <row r="71" spans="1:7" ht="15">
      <c r="A71" s="73" t="s">
        <v>1543</v>
      </c>
      <c r="B71" s="76">
        <v>12</v>
      </c>
      <c r="C71" s="87">
        <v>0.004793181294797781</v>
      </c>
      <c r="D71" s="76" t="s">
        <v>389</v>
      </c>
      <c r="E71" s="76" t="b">
        <v>0</v>
      </c>
      <c r="F71" s="76" t="b">
        <v>0</v>
      </c>
      <c r="G71" s="76" t="b">
        <v>0</v>
      </c>
    </row>
    <row r="72" spans="1:7" ht="15">
      <c r="A72" s="73" t="s">
        <v>1544</v>
      </c>
      <c r="B72" s="76">
        <v>12</v>
      </c>
      <c r="C72" s="87">
        <v>0.004793181294797781</v>
      </c>
      <c r="D72" s="76" t="s">
        <v>389</v>
      </c>
      <c r="E72" s="76" t="b">
        <v>0</v>
      </c>
      <c r="F72" s="76" t="b">
        <v>0</v>
      </c>
      <c r="G72" s="76" t="b">
        <v>0</v>
      </c>
    </row>
    <row r="73" spans="1:7" ht="15">
      <c r="A73" s="73" t="s">
        <v>1545</v>
      </c>
      <c r="B73" s="76">
        <v>12</v>
      </c>
      <c r="C73" s="87">
        <v>0.004793181294797781</v>
      </c>
      <c r="D73" s="76" t="s">
        <v>389</v>
      </c>
      <c r="E73" s="76" t="b">
        <v>0</v>
      </c>
      <c r="F73" s="76" t="b">
        <v>0</v>
      </c>
      <c r="G73" s="76" t="b">
        <v>0</v>
      </c>
    </row>
    <row r="74" spans="1:7" ht="15">
      <c r="A74" s="73" t="s">
        <v>1546</v>
      </c>
      <c r="B74" s="76">
        <v>12</v>
      </c>
      <c r="C74" s="87">
        <v>0.004793181294797781</v>
      </c>
      <c r="D74" s="76" t="s">
        <v>389</v>
      </c>
      <c r="E74" s="76" t="b">
        <v>1</v>
      </c>
      <c r="F74" s="76" t="b">
        <v>0</v>
      </c>
      <c r="G74" s="76" t="b">
        <v>0</v>
      </c>
    </row>
    <row r="75" spans="1:7" ht="15">
      <c r="A75" s="73" t="s">
        <v>1547</v>
      </c>
      <c r="B75" s="76">
        <v>12</v>
      </c>
      <c r="C75" s="87">
        <v>0.004793181294797781</v>
      </c>
      <c r="D75" s="76" t="s">
        <v>389</v>
      </c>
      <c r="E75" s="76" t="b">
        <v>0</v>
      </c>
      <c r="F75" s="76" t="b">
        <v>0</v>
      </c>
      <c r="G75" s="76" t="b">
        <v>0</v>
      </c>
    </row>
    <row r="76" spans="1:7" ht="15">
      <c r="A76" s="73" t="s">
        <v>1548</v>
      </c>
      <c r="B76" s="76">
        <v>12</v>
      </c>
      <c r="C76" s="87">
        <v>0.004793181294797781</v>
      </c>
      <c r="D76" s="76" t="s">
        <v>389</v>
      </c>
      <c r="E76" s="76" t="b">
        <v>0</v>
      </c>
      <c r="F76" s="76" t="b">
        <v>0</v>
      </c>
      <c r="G76" s="76" t="b">
        <v>0</v>
      </c>
    </row>
    <row r="77" spans="1:7" ht="15">
      <c r="A77" s="73" t="s">
        <v>1549</v>
      </c>
      <c r="B77" s="76">
        <v>12</v>
      </c>
      <c r="C77" s="87">
        <v>0.004793181294797781</v>
      </c>
      <c r="D77" s="76" t="s">
        <v>389</v>
      </c>
      <c r="E77" s="76" t="b">
        <v>0</v>
      </c>
      <c r="F77" s="76" t="b">
        <v>0</v>
      </c>
      <c r="G77" s="76" t="b">
        <v>0</v>
      </c>
    </row>
    <row r="78" spans="1:7" ht="15">
      <c r="A78" s="73" t="s">
        <v>1550</v>
      </c>
      <c r="B78" s="76">
        <v>11</v>
      </c>
      <c r="C78" s="87">
        <v>0.0045677445682779285</v>
      </c>
      <c r="D78" s="76" t="s">
        <v>389</v>
      </c>
      <c r="E78" s="76" t="b">
        <v>0</v>
      </c>
      <c r="F78" s="76" t="b">
        <v>0</v>
      </c>
      <c r="G78" s="76" t="b">
        <v>0</v>
      </c>
    </row>
    <row r="79" spans="1:7" ht="15">
      <c r="A79" s="73" t="s">
        <v>361</v>
      </c>
      <c r="B79" s="76">
        <v>11</v>
      </c>
      <c r="C79" s="87">
        <v>0.0045677445682779285</v>
      </c>
      <c r="D79" s="76" t="s">
        <v>389</v>
      </c>
      <c r="E79" s="76" t="b">
        <v>0</v>
      </c>
      <c r="F79" s="76" t="b">
        <v>0</v>
      </c>
      <c r="G79" s="76" t="b">
        <v>0</v>
      </c>
    </row>
    <row r="80" spans="1:7" ht="15">
      <c r="A80" s="73" t="s">
        <v>1551</v>
      </c>
      <c r="B80" s="76">
        <v>11</v>
      </c>
      <c r="C80" s="87">
        <v>0.004969022062169893</v>
      </c>
      <c r="D80" s="76" t="s">
        <v>389</v>
      </c>
      <c r="E80" s="76" t="b">
        <v>0</v>
      </c>
      <c r="F80" s="76" t="b">
        <v>0</v>
      </c>
      <c r="G80" s="76" t="b">
        <v>0</v>
      </c>
    </row>
    <row r="81" spans="1:7" ht="15">
      <c r="A81" s="73" t="s">
        <v>1552</v>
      </c>
      <c r="B81" s="76">
        <v>10</v>
      </c>
      <c r="C81" s="87">
        <v>0.004325758708610086</v>
      </c>
      <c r="D81" s="76" t="s">
        <v>389</v>
      </c>
      <c r="E81" s="76" t="b">
        <v>0</v>
      </c>
      <c r="F81" s="76" t="b">
        <v>0</v>
      </c>
      <c r="G81" s="76" t="b">
        <v>0</v>
      </c>
    </row>
    <row r="82" spans="1:7" ht="15">
      <c r="A82" s="73" t="s">
        <v>383</v>
      </c>
      <c r="B82" s="76">
        <v>9</v>
      </c>
      <c r="C82" s="87">
        <v>0.00406556350541173</v>
      </c>
      <c r="D82" s="76" t="s">
        <v>389</v>
      </c>
      <c r="E82" s="76" t="b">
        <v>0</v>
      </c>
      <c r="F82" s="76" t="b">
        <v>0</v>
      </c>
      <c r="G82" s="76" t="b">
        <v>0</v>
      </c>
    </row>
    <row r="83" spans="1:7" ht="15">
      <c r="A83" s="73" t="s">
        <v>1553</v>
      </c>
      <c r="B83" s="76">
        <v>9</v>
      </c>
      <c r="C83" s="87">
        <v>0.004728946231029617</v>
      </c>
      <c r="D83" s="76" t="s">
        <v>389</v>
      </c>
      <c r="E83" s="76" t="b">
        <v>0</v>
      </c>
      <c r="F83" s="76" t="b">
        <v>0</v>
      </c>
      <c r="G83" s="76" t="b">
        <v>0</v>
      </c>
    </row>
    <row r="84" spans="1:7" ht="15">
      <c r="A84" s="73" t="s">
        <v>1554</v>
      </c>
      <c r="B84" s="76">
        <v>8</v>
      </c>
      <c r="C84" s="87">
        <v>0.00378512773041442</v>
      </c>
      <c r="D84" s="76" t="s">
        <v>389</v>
      </c>
      <c r="E84" s="76" t="b">
        <v>0</v>
      </c>
      <c r="F84" s="76" t="b">
        <v>0</v>
      </c>
      <c r="G84" s="76" t="b">
        <v>0</v>
      </c>
    </row>
    <row r="85" spans="1:7" ht="15">
      <c r="A85" s="73" t="s">
        <v>1555</v>
      </c>
      <c r="B85" s="76">
        <v>8</v>
      </c>
      <c r="C85" s="87">
        <v>0.00378512773041442</v>
      </c>
      <c r="D85" s="76" t="s">
        <v>389</v>
      </c>
      <c r="E85" s="76" t="b">
        <v>1</v>
      </c>
      <c r="F85" s="76" t="b">
        <v>0</v>
      </c>
      <c r="G85" s="76" t="b">
        <v>0</v>
      </c>
    </row>
    <row r="86" spans="1:7" ht="15">
      <c r="A86" s="73" t="s">
        <v>1556</v>
      </c>
      <c r="B86" s="76">
        <v>8</v>
      </c>
      <c r="C86" s="87">
        <v>0.00378512773041442</v>
      </c>
      <c r="D86" s="76" t="s">
        <v>389</v>
      </c>
      <c r="E86" s="76" t="b">
        <v>0</v>
      </c>
      <c r="F86" s="76" t="b">
        <v>0</v>
      </c>
      <c r="G86" s="76" t="b">
        <v>0</v>
      </c>
    </row>
    <row r="87" spans="1:7" ht="15">
      <c r="A87" s="73" t="s">
        <v>377</v>
      </c>
      <c r="B87" s="76">
        <v>7</v>
      </c>
      <c r="C87" s="87">
        <v>0.003481908751908267</v>
      </c>
      <c r="D87" s="76" t="s">
        <v>389</v>
      </c>
      <c r="E87" s="76" t="b">
        <v>0</v>
      </c>
      <c r="F87" s="76" t="b">
        <v>0</v>
      </c>
      <c r="G87" s="76" t="b">
        <v>0</v>
      </c>
    </row>
    <row r="88" spans="1:7" ht="15">
      <c r="A88" s="73" t="s">
        <v>1557</v>
      </c>
      <c r="B88" s="76">
        <v>7</v>
      </c>
      <c r="C88" s="87">
        <v>0.003481908751908267</v>
      </c>
      <c r="D88" s="76" t="s">
        <v>389</v>
      </c>
      <c r="E88" s="76" t="b">
        <v>0</v>
      </c>
      <c r="F88" s="76" t="b">
        <v>0</v>
      </c>
      <c r="G88" s="76" t="b">
        <v>0</v>
      </c>
    </row>
    <row r="89" spans="1:7" ht="15">
      <c r="A89" s="73" t="s">
        <v>1558</v>
      </c>
      <c r="B89" s="76">
        <v>7</v>
      </c>
      <c r="C89" s="87">
        <v>0.003481908751908267</v>
      </c>
      <c r="D89" s="76" t="s">
        <v>389</v>
      </c>
      <c r="E89" s="76" t="b">
        <v>0</v>
      </c>
      <c r="F89" s="76" t="b">
        <v>0</v>
      </c>
      <c r="G89" s="76" t="b">
        <v>0</v>
      </c>
    </row>
    <row r="90" spans="1:7" ht="15">
      <c r="A90" s="73" t="s">
        <v>1559</v>
      </c>
      <c r="B90" s="76">
        <v>7</v>
      </c>
      <c r="C90" s="87">
        <v>0.003481908751908267</v>
      </c>
      <c r="D90" s="76" t="s">
        <v>389</v>
      </c>
      <c r="E90" s="76" t="b">
        <v>0</v>
      </c>
      <c r="F90" s="76" t="b">
        <v>0</v>
      </c>
      <c r="G90" s="76" t="b">
        <v>0</v>
      </c>
    </row>
    <row r="91" spans="1:7" ht="15">
      <c r="A91" s="73" t="s">
        <v>1560</v>
      </c>
      <c r="B91" s="76">
        <v>7</v>
      </c>
      <c r="C91" s="87">
        <v>0.003481908751908267</v>
      </c>
      <c r="D91" s="76" t="s">
        <v>389</v>
      </c>
      <c r="E91" s="76" t="b">
        <v>0</v>
      </c>
      <c r="F91" s="76" t="b">
        <v>0</v>
      </c>
      <c r="G91" s="76" t="b">
        <v>0</v>
      </c>
    </row>
    <row r="92" spans="1:7" ht="15">
      <c r="A92" s="73" t="s">
        <v>1561</v>
      </c>
      <c r="B92" s="76">
        <v>7</v>
      </c>
      <c r="C92" s="87">
        <v>0.003481908751908267</v>
      </c>
      <c r="D92" s="76" t="s">
        <v>389</v>
      </c>
      <c r="E92" s="76" t="b">
        <v>0</v>
      </c>
      <c r="F92" s="76" t="b">
        <v>0</v>
      </c>
      <c r="G92" s="76" t="b">
        <v>0</v>
      </c>
    </row>
    <row r="93" spans="1:7" ht="15">
      <c r="A93" s="73" t="s">
        <v>1562</v>
      </c>
      <c r="B93" s="76">
        <v>7</v>
      </c>
      <c r="C93" s="87">
        <v>0.003481908751908267</v>
      </c>
      <c r="D93" s="76" t="s">
        <v>389</v>
      </c>
      <c r="E93" s="76" t="b">
        <v>0</v>
      </c>
      <c r="F93" s="76" t="b">
        <v>0</v>
      </c>
      <c r="G93" s="76" t="b">
        <v>0</v>
      </c>
    </row>
    <row r="94" spans="1:7" ht="15">
      <c r="A94" s="73" t="s">
        <v>1563</v>
      </c>
      <c r="B94" s="76">
        <v>7</v>
      </c>
      <c r="C94" s="87">
        <v>0.003481908751908267</v>
      </c>
      <c r="D94" s="76" t="s">
        <v>389</v>
      </c>
      <c r="E94" s="76" t="b">
        <v>0</v>
      </c>
      <c r="F94" s="76" t="b">
        <v>0</v>
      </c>
      <c r="G94" s="76" t="b">
        <v>0</v>
      </c>
    </row>
    <row r="95" spans="1:7" ht="15">
      <c r="A95" s="73" t="s">
        <v>1564</v>
      </c>
      <c r="B95" s="76">
        <v>7</v>
      </c>
      <c r="C95" s="87">
        <v>0.003481908751908267</v>
      </c>
      <c r="D95" s="76" t="s">
        <v>389</v>
      </c>
      <c r="E95" s="76" t="b">
        <v>0</v>
      </c>
      <c r="F95" s="76" t="b">
        <v>0</v>
      </c>
      <c r="G95" s="76" t="b">
        <v>0</v>
      </c>
    </row>
    <row r="96" spans="1:7" ht="15">
      <c r="A96" s="73" t="s">
        <v>1565</v>
      </c>
      <c r="B96" s="76">
        <v>7</v>
      </c>
      <c r="C96" s="87">
        <v>0.003481908751908267</v>
      </c>
      <c r="D96" s="76" t="s">
        <v>389</v>
      </c>
      <c r="E96" s="76" t="b">
        <v>0</v>
      </c>
      <c r="F96" s="76" t="b">
        <v>0</v>
      </c>
      <c r="G96" s="76" t="b">
        <v>0</v>
      </c>
    </row>
    <row r="97" spans="1:7" ht="15">
      <c r="A97" s="73" t="s">
        <v>1566</v>
      </c>
      <c r="B97" s="76">
        <v>7</v>
      </c>
      <c r="C97" s="87">
        <v>0.003481908751908267</v>
      </c>
      <c r="D97" s="76" t="s">
        <v>389</v>
      </c>
      <c r="E97" s="76" t="b">
        <v>0</v>
      </c>
      <c r="F97" s="76" t="b">
        <v>0</v>
      </c>
      <c r="G97" s="76" t="b">
        <v>0</v>
      </c>
    </row>
    <row r="98" spans="1:7" ht="15">
      <c r="A98" s="73" t="s">
        <v>1567</v>
      </c>
      <c r="B98" s="76">
        <v>7</v>
      </c>
      <c r="C98" s="87">
        <v>0.003481908751908267</v>
      </c>
      <c r="D98" s="76" t="s">
        <v>389</v>
      </c>
      <c r="E98" s="76" t="b">
        <v>0</v>
      </c>
      <c r="F98" s="76" t="b">
        <v>0</v>
      </c>
      <c r="G98" s="76" t="b">
        <v>0</v>
      </c>
    </row>
    <row r="99" spans="1:7" ht="15">
      <c r="A99" s="73" t="s">
        <v>1568</v>
      </c>
      <c r="B99" s="76">
        <v>7</v>
      </c>
      <c r="C99" s="87">
        <v>0.003481908751908267</v>
      </c>
      <c r="D99" s="76" t="s">
        <v>389</v>
      </c>
      <c r="E99" s="76" t="b">
        <v>0</v>
      </c>
      <c r="F99" s="76" t="b">
        <v>0</v>
      </c>
      <c r="G99" s="76" t="b">
        <v>0</v>
      </c>
    </row>
    <row r="100" spans="1:7" ht="15">
      <c r="A100" s="73" t="s">
        <v>1569</v>
      </c>
      <c r="B100" s="76">
        <v>7</v>
      </c>
      <c r="C100" s="87">
        <v>0.003481908751908267</v>
      </c>
      <c r="D100" s="76" t="s">
        <v>389</v>
      </c>
      <c r="E100" s="76" t="b">
        <v>0</v>
      </c>
      <c r="F100" s="76" t="b">
        <v>0</v>
      </c>
      <c r="G100" s="76" t="b">
        <v>0</v>
      </c>
    </row>
    <row r="101" spans="1:7" ht="15">
      <c r="A101" s="73" t="s">
        <v>1570</v>
      </c>
      <c r="B101" s="76">
        <v>7</v>
      </c>
      <c r="C101" s="87">
        <v>0.003481908751908267</v>
      </c>
      <c r="D101" s="76" t="s">
        <v>389</v>
      </c>
      <c r="E101" s="76" t="b">
        <v>0</v>
      </c>
      <c r="F101" s="76" t="b">
        <v>0</v>
      </c>
      <c r="G101" s="76" t="b">
        <v>0</v>
      </c>
    </row>
    <row r="102" spans="1:7" ht="15">
      <c r="A102" s="73" t="s">
        <v>1571</v>
      </c>
      <c r="B102" s="76">
        <v>7</v>
      </c>
      <c r="C102" s="87">
        <v>0.003481908751908267</v>
      </c>
      <c r="D102" s="76" t="s">
        <v>389</v>
      </c>
      <c r="E102" s="76" t="b">
        <v>0</v>
      </c>
      <c r="F102" s="76" t="b">
        <v>0</v>
      </c>
      <c r="G102" s="76" t="b">
        <v>0</v>
      </c>
    </row>
    <row r="103" spans="1:7" ht="15">
      <c r="A103" s="73" t="s">
        <v>1572</v>
      </c>
      <c r="B103" s="76">
        <v>7</v>
      </c>
      <c r="C103" s="87">
        <v>0.003481908751908267</v>
      </c>
      <c r="D103" s="76" t="s">
        <v>389</v>
      </c>
      <c r="E103" s="76" t="b">
        <v>0</v>
      </c>
      <c r="F103" s="76" t="b">
        <v>0</v>
      </c>
      <c r="G103" s="76" t="b">
        <v>0</v>
      </c>
    </row>
    <row r="104" spans="1:7" ht="15">
      <c r="A104" s="73" t="s">
        <v>1573</v>
      </c>
      <c r="B104" s="76">
        <v>7</v>
      </c>
      <c r="C104" s="87">
        <v>0.003481908751908267</v>
      </c>
      <c r="D104" s="76" t="s">
        <v>389</v>
      </c>
      <c r="E104" s="76" t="b">
        <v>0</v>
      </c>
      <c r="F104" s="76" t="b">
        <v>0</v>
      </c>
      <c r="G104" s="76" t="b">
        <v>0</v>
      </c>
    </row>
    <row r="105" spans="1:7" ht="15">
      <c r="A105" s="73" t="s">
        <v>1574</v>
      </c>
      <c r="B105" s="76">
        <v>7</v>
      </c>
      <c r="C105" s="87">
        <v>0.003481908751908267</v>
      </c>
      <c r="D105" s="76" t="s">
        <v>389</v>
      </c>
      <c r="E105" s="76" t="b">
        <v>0</v>
      </c>
      <c r="F105" s="76" t="b">
        <v>0</v>
      </c>
      <c r="G105" s="76" t="b">
        <v>0</v>
      </c>
    </row>
    <row r="106" spans="1:7" ht="15">
      <c r="A106" s="73" t="s">
        <v>1575</v>
      </c>
      <c r="B106" s="76">
        <v>7</v>
      </c>
      <c r="C106" s="87">
        <v>0.003481908751908267</v>
      </c>
      <c r="D106" s="76" t="s">
        <v>389</v>
      </c>
      <c r="E106" s="76" t="b">
        <v>0</v>
      </c>
      <c r="F106" s="76" t="b">
        <v>0</v>
      </c>
      <c r="G106" s="76" t="b">
        <v>0</v>
      </c>
    </row>
    <row r="107" spans="1:7" ht="15">
      <c r="A107" s="73" t="s">
        <v>1576</v>
      </c>
      <c r="B107" s="76">
        <v>7</v>
      </c>
      <c r="C107" s="87">
        <v>0.003481908751908267</v>
      </c>
      <c r="D107" s="76" t="s">
        <v>389</v>
      </c>
      <c r="E107" s="76" t="b">
        <v>0</v>
      </c>
      <c r="F107" s="76" t="b">
        <v>0</v>
      </c>
      <c r="G107" s="76" t="b">
        <v>0</v>
      </c>
    </row>
    <row r="108" spans="1:7" ht="15">
      <c r="A108" s="73" t="s">
        <v>1577</v>
      </c>
      <c r="B108" s="76">
        <v>7</v>
      </c>
      <c r="C108" s="87">
        <v>0.003481908751908267</v>
      </c>
      <c r="D108" s="76" t="s">
        <v>389</v>
      </c>
      <c r="E108" s="76" t="b">
        <v>0</v>
      </c>
      <c r="F108" s="76" t="b">
        <v>0</v>
      </c>
      <c r="G108" s="76" t="b">
        <v>0</v>
      </c>
    </row>
    <row r="109" spans="1:7" ht="15">
      <c r="A109" s="73" t="s">
        <v>1578</v>
      </c>
      <c r="B109" s="76">
        <v>7</v>
      </c>
      <c r="C109" s="87">
        <v>0.003481908751908267</v>
      </c>
      <c r="D109" s="76" t="s">
        <v>389</v>
      </c>
      <c r="E109" s="76" t="b">
        <v>0</v>
      </c>
      <c r="F109" s="76" t="b">
        <v>0</v>
      </c>
      <c r="G109" s="76" t="b">
        <v>0</v>
      </c>
    </row>
    <row r="110" spans="1:7" ht="15">
      <c r="A110" s="73" t="s">
        <v>1579</v>
      </c>
      <c r="B110" s="76">
        <v>7</v>
      </c>
      <c r="C110" s="87">
        <v>0.003481908751908267</v>
      </c>
      <c r="D110" s="76" t="s">
        <v>389</v>
      </c>
      <c r="E110" s="76" t="b">
        <v>0</v>
      </c>
      <c r="F110" s="76" t="b">
        <v>0</v>
      </c>
      <c r="G110" s="76" t="b">
        <v>0</v>
      </c>
    </row>
    <row r="111" spans="1:7" ht="15">
      <c r="A111" s="73" t="s">
        <v>1580</v>
      </c>
      <c r="B111" s="76">
        <v>6</v>
      </c>
      <c r="C111" s="87">
        <v>0.003152630820686411</v>
      </c>
      <c r="D111" s="76" t="s">
        <v>389</v>
      </c>
      <c r="E111" s="76" t="b">
        <v>0</v>
      </c>
      <c r="F111" s="76" t="b">
        <v>0</v>
      </c>
      <c r="G111" s="76" t="b">
        <v>0</v>
      </c>
    </row>
    <row r="112" spans="1:7" ht="15">
      <c r="A112" s="73" t="s">
        <v>642</v>
      </c>
      <c r="B112" s="76">
        <v>6</v>
      </c>
      <c r="C112" s="87">
        <v>0.003152630820686411</v>
      </c>
      <c r="D112" s="76" t="s">
        <v>389</v>
      </c>
      <c r="E112" s="76" t="b">
        <v>0</v>
      </c>
      <c r="F112" s="76" t="b">
        <v>0</v>
      </c>
      <c r="G112" s="76" t="b">
        <v>0</v>
      </c>
    </row>
    <row r="113" spans="1:7" ht="15">
      <c r="A113" s="73" t="s">
        <v>1581</v>
      </c>
      <c r="B113" s="76">
        <v>5</v>
      </c>
      <c r="C113" s="87">
        <v>0.0032572258283116097</v>
      </c>
      <c r="D113" s="76" t="s">
        <v>389</v>
      </c>
      <c r="E113" s="76" t="b">
        <v>0</v>
      </c>
      <c r="F113" s="76" t="b">
        <v>0</v>
      </c>
      <c r="G113" s="76" t="b">
        <v>0</v>
      </c>
    </row>
    <row r="114" spans="1:7" ht="15">
      <c r="A114" s="73" t="s">
        <v>371</v>
      </c>
      <c r="B114" s="76">
        <v>5</v>
      </c>
      <c r="C114" s="87">
        <v>0.002792912832044644</v>
      </c>
      <c r="D114" s="76" t="s">
        <v>389</v>
      </c>
      <c r="E114" s="76" t="b">
        <v>0</v>
      </c>
      <c r="F114" s="76" t="b">
        <v>0</v>
      </c>
      <c r="G114" s="76" t="b">
        <v>0</v>
      </c>
    </row>
    <row r="115" spans="1:7" ht="15">
      <c r="A115" s="73" t="s">
        <v>372</v>
      </c>
      <c r="B115" s="76">
        <v>5</v>
      </c>
      <c r="C115" s="87">
        <v>0.002792912832044644</v>
      </c>
      <c r="D115" s="76" t="s">
        <v>389</v>
      </c>
      <c r="E115" s="76" t="b">
        <v>0</v>
      </c>
      <c r="F115" s="76" t="b">
        <v>0</v>
      </c>
      <c r="G115" s="76" t="b">
        <v>0</v>
      </c>
    </row>
    <row r="116" spans="1:7" ht="15">
      <c r="A116" s="73" t="s">
        <v>376</v>
      </c>
      <c r="B116" s="76">
        <v>5</v>
      </c>
      <c r="C116" s="87">
        <v>0.002792912832044644</v>
      </c>
      <c r="D116" s="76" t="s">
        <v>389</v>
      </c>
      <c r="E116" s="76" t="b">
        <v>0</v>
      </c>
      <c r="F116" s="76" t="b">
        <v>0</v>
      </c>
      <c r="G116" s="76" t="b">
        <v>0</v>
      </c>
    </row>
    <row r="117" spans="1:7" ht="15">
      <c r="A117" s="73" t="s">
        <v>378</v>
      </c>
      <c r="B117" s="76">
        <v>5</v>
      </c>
      <c r="C117" s="87">
        <v>0.002792912832044644</v>
      </c>
      <c r="D117" s="76" t="s">
        <v>389</v>
      </c>
      <c r="E117" s="76" t="b">
        <v>0</v>
      </c>
      <c r="F117" s="76" t="b">
        <v>0</v>
      </c>
      <c r="G117" s="76" t="b">
        <v>0</v>
      </c>
    </row>
    <row r="118" spans="1:7" ht="15">
      <c r="A118" s="73" t="s">
        <v>1582</v>
      </c>
      <c r="B118" s="76">
        <v>5</v>
      </c>
      <c r="C118" s="87">
        <v>0.002792912832044644</v>
      </c>
      <c r="D118" s="76" t="s">
        <v>389</v>
      </c>
      <c r="E118" s="76" t="b">
        <v>0</v>
      </c>
      <c r="F118" s="76" t="b">
        <v>0</v>
      </c>
      <c r="G118" s="76" t="b">
        <v>0</v>
      </c>
    </row>
    <row r="119" spans="1:7" ht="15">
      <c r="A119" s="73" t="s">
        <v>1583</v>
      </c>
      <c r="B119" s="76">
        <v>5</v>
      </c>
      <c r="C119" s="87">
        <v>0.002792912832044644</v>
      </c>
      <c r="D119" s="76" t="s">
        <v>389</v>
      </c>
      <c r="E119" s="76" t="b">
        <v>0</v>
      </c>
      <c r="F119" s="76" t="b">
        <v>0</v>
      </c>
      <c r="G119" s="76" t="b">
        <v>0</v>
      </c>
    </row>
    <row r="120" spans="1:7" ht="15">
      <c r="A120" s="73" t="s">
        <v>1584</v>
      </c>
      <c r="B120" s="76">
        <v>5</v>
      </c>
      <c r="C120" s="87">
        <v>0.002792912832044644</v>
      </c>
      <c r="D120" s="76" t="s">
        <v>389</v>
      </c>
      <c r="E120" s="76" t="b">
        <v>0</v>
      </c>
      <c r="F120" s="76" t="b">
        <v>0</v>
      </c>
      <c r="G120" s="76" t="b">
        <v>0</v>
      </c>
    </row>
    <row r="121" spans="1:7" ht="15">
      <c r="A121" s="73" t="s">
        <v>1585</v>
      </c>
      <c r="B121" s="76">
        <v>5</v>
      </c>
      <c r="C121" s="87">
        <v>0.002792912832044644</v>
      </c>
      <c r="D121" s="76" t="s">
        <v>389</v>
      </c>
      <c r="E121" s="76" t="b">
        <v>0</v>
      </c>
      <c r="F121" s="76" t="b">
        <v>0</v>
      </c>
      <c r="G121" s="76" t="b">
        <v>0</v>
      </c>
    </row>
    <row r="122" spans="1:7" ht="15">
      <c r="A122" s="73" t="s">
        <v>1586</v>
      </c>
      <c r="B122" s="76">
        <v>5</v>
      </c>
      <c r="C122" s="87">
        <v>0.002792912832044644</v>
      </c>
      <c r="D122" s="76" t="s">
        <v>389</v>
      </c>
      <c r="E122" s="76" t="b">
        <v>0</v>
      </c>
      <c r="F122" s="76" t="b">
        <v>0</v>
      </c>
      <c r="G122" s="76" t="b">
        <v>0</v>
      </c>
    </row>
    <row r="123" spans="1:7" ht="15">
      <c r="A123" s="73" t="s">
        <v>570</v>
      </c>
      <c r="B123" s="76">
        <v>5</v>
      </c>
      <c r="C123" s="87">
        <v>0.002792912832044644</v>
      </c>
      <c r="D123" s="76" t="s">
        <v>389</v>
      </c>
      <c r="E123" s="76" t="b">
        <v>0</v>
      </c>
      <c r="F123" s="76" t="b">
        <v>0</v>
      </c>
      <c r="G123" s="76" t="b">
        <v>0</v>
      </c>
    </row>
    <row r="124" spans="1:7" ht="15">
      <c r="A124" s="73" t="s">
        <v>364</v>
      </c>
      <c r="B124" s="76">
        <v>4</v>
      </c>
      <c r="C124" s="87">
        <v>0.0023965906473988907</v>
      </c>
      <c r="D124" s="76" t="s">
        <v>389</v>
      </c>
      <c r="E124" s="76" t="b">
        <v>0</v>
      </c>
      <c r="F124" s="76" t="b">
        <v>0</v>
      </c>
      <c r="G124" s="76" t="b">
        <v>0</v>
      </c>
    </row>
    <row r="125" spans="1:7" ht="15">
      <c r="A125" s="73" t="s">
        <v>365</v>
      </c>
      <c r="B125" s="76">
        <v>4</v>
      </c>
      <c r="C125" s="87">
        <v>0.0023965906473988907</v>
      </c>
      <c r="D125" s="76" t="s">
        <v>389</v>
      </c>
      <c r="E125" s="76" t="b">
        <v>0</v>
      </c>
      <c r="F125" s="76" t="b">
        <v>0</v>
      </c>
      <c r="G125" s="76" t="b">
        <v>0</v>
      </c>
    </row>
    <row r="126" spans="1:7" ht="15">
      <c r="A126" s="73" t="s">
        <v>366</v>
      </c>
      <c r="B126" s="76">
        <v>4</v>
      </c>
      <c r="C126" s="87">
        <v>0.0023965906473988907</v>
      </c>
      <c r="D126" s="76" t="s">
        <v>389</v>
      </c>
      <c r="E126" s="76" t="b">
        <v>0</v>
      </c>
      <c r="F126" s="76" t="b">
        <v>1</v>
      </c>
      <c r="G126" s="76" t="b">
        <v>0</v>
      </c>
    </row>
    <row r="127" spans="1:7" ht="15">
      <c r="A127" s="73" t="s">
        <v>367</v>
      </c>
      <c r="B127" s="76">
        <v>4</v>
      </c>
      <c r="C127" s="87">
        <v>0.0023965906473988907</v>
      </c>
      <c r="D127" s="76" t="s">
        <v>389</v>
      </c>
      <c r="E127" s="76" t="b">
        <v>0</v>
      </c>
      <c r="F127" s="76" t="b">
        <v>0</v>
      </c>
      <c r="G127" s="76" t="b">
        <v>0</v>
      </c>
    </row>
    <row r="128" spans="1:7" ht="15">
      <c r="A128" s="73" t="s">
        <v>369</v>
      </c>
      <c r="B128" s="76">
        <v>4</v>
      </c>
      <c r="C128" s="87">
        <v>0.0023965906473988907</v>
      </c>
      <c r="D128" s="76" t="s">
        <v>389</v>
      </c>
      <c r="E128" s="76" t="b">
        <v>0</v>
      </c>
      <c r="F128" s="76" t="b">
        <v>0</v>
      </c>
      <c r="G128" s="76" t="b">
        <v>0</v>
      </c>
    </row>
    <row r="129" spans="1:7" ht="15">
      <c r="A129" s="73" t="s">
        <v>374</v>
      </c>
      <c r="B129" s="76">
        <v>4</v>
      </c>
      <c r="C129" s="87">
        <v>0.0023965906473988907</v>
      </c>
      <c r="D129" s="76" t="s">
        <v>389</v>
      </c>
      <c r="E129" s="76" t="b">
        <v>0</v>
      </c>
      <c r="F129" s="76" t="b">
        <v>0</v>
      </c>
      <c r="G129" s="76" t="b">
        <v>0</v>
      </c>
    </row>
    <row r="130" spans="1:7" ht="15">
      <c r="A130" s="73" t="s">
        <v>375</v>
      </c>
      <c r="B130" s="76">
        <v>4</v>
      </c>
      <c r="C130" s="87">
        <v>0.0023965906473988907</v>
      </c>
      <c r="D130" s="76" t="s">
        <v>389</v>
      </c>
      <c r="E130" s="76" t="b">
        <v>0</v>
      </c>
      <c r="F130" s="76" t="b">
        <v>0</v>
      </c>
      <c r="G130" s="76" t="b">
        <v>0</v>
      </c>
    </row>
    <row r="131" spans="1:7" ht="15">
      <c r="A131" s="73" t="s">
        <v>382</v>
      </c>
      <c r="B131" s="76">
        <v>4</v>
      </c>
      <c r="C131" s="87">
        <v>0.002605780662649288</v>
      </c>
      <c r="D131" s="76" t="s">
        <v>389</v>
      </c>
      <c r="E131" s="76" t="b">
        <v>1</v>
      </c>
      <c r="F131" s="76" t="b">
        <v>0</v>
      </c>
      <c r="G131" s="76" t="b">
        <v>0</v>
      </c>
    </row>
    <row r="132" spans="1:7" ht="15">
      <c r="A132" s="73" t="s">
        <v>1587</v>
      </c>
      <c r="B132" s="76">
        <v>4</v>
      </c>
      <c r="C132" s="87">
        <v>0.0023965906473988907</v>
      </c>
      <c r="D132" s="76" t="s">
        <v>389</v>
      </c>
      <c r="E132" s="76" t="b">
        <v>0</v>
      </c>
      <c r="F132" s="76" t="b">
        <v>0</v>
      </c>
      <c r="G132" s="76" t="b">
        <v>0</v>
      </c>
    </row>
    <row r="133" spans="1:7" ht="15">
      <c r="A133" s="73" t="s">
        <v>1588</v>
      </c>
      <c r="B133" s="76">
        <v>4</v>
      </c>
      <c r="C133" s="87">
        <v>0.0023965906473988907</v>
      </c>
      <c r="D133" s="76" t="s">
        <v>389</v>
      </c>
      <c r="E133" s="76" t="b">
        <v>0</v>
      </c>
      <c r="F133" s="76" t="b">
        <v>0</v>
      </c>
      <c r="G133" s="76" t="b">
        <v>0</v>
      </c>
    </row>
    <row r="134" spans="1:7" ht="15">
      <c r="A134" s="73" t="s">
        <v>1589</v>
      </c>
      <c r="B134" s="76">
        <v>4</v>
      </c>
      <c r="C134" s="87">
        <v>0.0023965906473988907</v>
      </c>
      <c r="D134" s="76" t="s">
        <v>389</v>
      </c>
      <c r="E134" s="76" t="b">
        <v>0</v>
      </c>
      <c r="F134" s="76" t="b">
        <v>0</v>
      </c>
      <c r="G134" s="76" t="b">
        <v>0</v>
      </c>
    </row>
    <row r="135" spans="1:7" ht="15">
      <c r="A135" s="73" t="s">
        <v>1590</v>
      </c>
      <c r="B135" s="76">
        <v>4</v>
      </c>
      <c r="C135" s="87">
        <v>0.0023965906473988907</v>
      </c>
      <c r="D135" s="76" t="s">
        <v>389</v>
      </c>
      <c r="E135" s="76" t="b">
        <v>1</v>
      </c>
      <c r="F135" s="76" t="b">
        <v>0</v>
      </c>
      <c r="G135" s="76" t="b">
        <v>0</v>
      </c>
    </row>
    <row r="136" spans="1:7" ht="15">
      <c r="A136" s="73" t="s">
        <v>1591</v>
      </c>
      <c r="B136" s="76">
        <v>4</v>
      </c>
      <c r="C136" s="87">
        <v>0.0029006174295905713</v>
      </c>
      <c r="D136" s="76" t="s">
        <v>389</v>
      </c>
      <c r="E136" s="76" t="b">
        <v>0</v>
      </c>
      <c r="F136" s="76" t="b">
        <v>0</v>
      </c>
      <c r="G136" s="76" t="b">
        <v>0</v>
      </c>
    </row>
    <row r="137" spans="1:7" ht="15">
      <c r="A137" s="73" t="s">
        <v>1592</v>
      </c>
      <c r="B137" s="76">
        <v>4</v>
      </c>
      <c r="C137" s="87">
        <v>0.0023965906473988907</v>
      </c>
      <c r="D137" s="76" t="s">
        <v>389</v>
      </c>
      <c r="E137" s="76" t="b">
        <v>0</v>
      </c>
      <c r="F137" s="76" t="b">
        <v>0</v>
      </c>
      <c r="G137" s="76" t="b">
        <v>0</v>
      </c>
    </row>
    <row r="138" spans="1:7" ht="15">
      <c r="A138" s="73" t="s">
        <v>1593</v>
      </c>
      <c r="B138" s="76">
        <v>4</v>
      </c>
      <c r="C138" s="87">
        <v>0.0023965906473988907</v>
      </c>
      <c r="D138" s="76" t="s">
        <v>389</v>
      </c>
      <c r="E138" s="76" t="b">
        <v>0</v>
      </c>
      <c r="F138" s="76" t="b">
        <v>0</v>
      </c>
      <c r="G138" s="76" t="b">
        <v>0</v>
      </c>
    </row>
    <row r="139" spans="1:7" ht="15">
      <c r="A139" s="73" t="s">
        <v>1594</v>
      </c>
      <c r="B139" s="76">
        <v>4</v>
      </c>
      <c r="C139" s="87">
        <v>0.0023965906473988907</v>
      </c>
      <c r="D139" s="76" t="s">
        <v>389</v>
      </c>
      <c r="E139" s="76" t="b">
        <v>0</v>
      </c>
      <c r="F139" s="76" t="b">
        <v>0</v>
      </c>
      <c r="G139" s="76" t="b">
        <v>0</v>
      </c>
    </row>
    <row r="140" spans="1:7" ht="15">
      <c r="A140" s="73" t="s">
        <v>1595</v>
      </c>
      <c r="B140" s="76">
        <v>4</v>
      </c>
      <c r="C140" s="87">
        <v>0.0023965906473988907</v>
      </c>
      <c r="D140" s="76" t="s">
        <v>389</v>
      </c>
      <c r="E140" s="76" t="b">
        <v>0</v>
      </c>
      <c r="F140" s="76" t="b">
        <v>0</v>
      </c>
      <c r="G140" s="76" t="b">
        <v>0</v>
      </c>
    </row>
    <row r="141" spans="1:7" ht="15">
      <c r="A141" s="73" t="s">
        <v>1596</v>
      </c>
      <c r="B141" s="76">
        <v>4</v>
      </c>
      <c r="C141" s="87">
        <v>0.0023965906473988907</v>
      </c>
      <c r="D141" s="76" t="s">
        <v>389</v>
      </c>
      <c r="E141" s="76" t="b">
        <v>0</v>
      </c>
      <c r="F141" s="76" t="b">
        <v>0</v>
      </c>
      <c r="G141" s="76" t="b">
        <v>0</v>
      </c>
    </row>
    <row r="142" spans="1:7" ht="15">
      <c r="A142" s="73" t="s">
        <v>1597</v>
      </c>
      <c r="B142" s="76">
        <v>4</v>
      </c>
      <c r="C142" s="87">
        <v>0.0023965906473988907</v>
      </c>
      <c r="D142" s="76" t="s">
        <v>389</v>
      </c>
      <c r="E142" s="76" t="b">
        <v>0</v>
      </c>
      <c r="F142" s="76" t="b">
        <v>0</v>
      </c>
      <c r="G142" s="76" t="b">
        <v>0</v>
      </c>
    </row>
    <row r="143" spans="1:7" ht="15">
      <c r="A143" s="73" t="s">
        <v>1598</v>
      </c>
      <c r="B143" s="76">
        <v>4</v>
      </c>
      <c r="C143" s="87">
        <v>0.0023965906473988907</v>
      </c>
      <c r="D143" s="76" t="s">
        <v>389</v>
      </c>
      <c r="E143" s="76" t="b">
        <v>0</v>
      </c>
      <c r="F143" s="76" t="b">
        <v>0</v>
      </c>
      <c r="G143" s="76" t="b">
        <v>0</v>
      </c>
    </row>
    <row r="144" spans="1:7" ht="15">
      <c r="A144" s="73" t="s">
        <v>1599</v>
      </c>
      <c r="B144" s="76">
        <v>4</v>
      </c>
      <c r="C144" s="87">
        <v>0.0029006174295905713</v>
      </c>
      <c r="D144" s="76" t="s">
        <v>389</v>
      </c>
      <c r="E144" s="76" t="b">
        <v>0</v>
      </c>
      <c r="F144" s="76" t="b">
        <v>0</v>
      </c>
      <c r="G144" s="76" t="b">
        <v>0</v>
      </c>
    </row>
    <row r="145" spans="1:7" ht="15">
      <c r="A145" s="73" t="s">
        <v>1600</v>
      </c>
      <c r="B145" s="76">
        <v>4</v>
      </c>
      <c r="C145" s="87">
        <v>0.0029006174295905713</v>
      </c>
      <c r="D145" s="76" t="s">
        <v>389</v>
      </c>
      <c r="E145" s="76" t="b">
        <v>0</v>
      </c>
      <c r="F145" s="76" t="b">
        <v>0</v>
      </c>
      <c r="G145" s="76" t="b">
        <v>0</v>
      </c>
    </row>
    <row r="146" spans="1:7" ht="15">
      <c r="A146" s="73" t="s">
        <v>1601</v>
      </c>
      <c r="B146" s="76">
        <v>4</v>
      </c>
      <c r="C146" s="87">
        <v>0.0029006174295905713</v>
      </c>
      <c r="D146" s="76" t="s">
        <v>389</v>
      </c>
      <c r="E146" s="76" t="b">
        <v>0</v>
      </c>
      <c r="F146" s="76" t="b">
        <v>0</v>
      </c>
      <c r="G146" s="76" t="b">
        <v>0</v>
      </c>
    </row>
    <row r="147" spans="1:7" ht="15">
      <c r="A147" s="73" t="s">
        <v>1602</v>
      </c>
      <c r="B147" s="76">
        <v>3</v>
      </c>
      <c r="C147" s="87">
        <v>0.001954335496986966</v>
      </c>
      <c r="D147" s="76" t="s">
        <v>389</v>
      </c>
      <c r="E147" s="76" t="b">
        <v>0</v>
      </c>
      <c r="F147" s="76" t="b">
        <v>0</v>
      </c>
      <c r="G147" s="76" t="b">
        <v>0</v>
      </c>
    </row>
    <row r="148" spans="1:7" ht="15">
      <c r="A148" s="73" t="s">
        <v>1603</v>
      </c>
      <c r="B148" s="76">
        <v>3</v>
      </c>
      <c r="C148" s="87">
        <v>0.001954335496986966</v>
      </c>
      <c r="D148" s="76" t="s">
        <v>389</v>
      </c>
      <c r="E148" s="76" t="b">
        <v>0</v>
      </c>
      <c r="F148" s="76" t="b">
        <v>0</v>
      </c>
      <c r="G148" s="76" t="b">
        <v>0</v>
      </c>
    </row>
    <row r="149" spans="1:7" ht="15">
      <c r="A149" s="73" t="s">
        <v>380</v>
      </c>
      <c r="B149" s="76">
        <v>3</v>
      </c>
      <c r="C149" s="87">
        <v>0.001954335496986966</v>
      </c>
      <c r="D149" s="76" t="s">
        <v>389</v>
      </c>
      <c r="E149" s="76" t="b">
        <v>0</v>
      </c>
      <c r="F149" s="76" t="b">
        <v>0</v>
      </c>
      <c r="G149" s="76" t="b">
        <v>0</v>
      </c>
    </row>
    <row r="150" spans="1:7" ht="15">
      <c r="A150" s="73" t="s">
        <v>1604</v>
      </c>
      <c r="B150" s="76">
        <v>3</v>
      </c>
      <c r="C150" s="87">
        <v>0.001954335496986966</v>
      </c>
      <c r="D150" s="76" t="s">
        <v>389</v>
      </c>
      <c r="E150" s="76" t="b">
        <v>0</v>
      </c>
      <c r="F150" s="76" t="b">
        <v>0</v>
      </c>
      <c r="G150" s="76" t="b">
        <v>0</v>
      </c>
    </row>
    <row r="151" spans="1:7" ht="15">
      <c r="A151" s="73" t="s">
        <v>1605</v>
      </c>
      <c r="B151" s="76">
        <v>3</v>
      </c>
      <c r="C151" s="87">
        <v>0.001954335496986966</v>
      </c>
      <c r="D151" s="76" t="s">
        <v>389</v>
      </c>
      <c r="E151" s="76" t="b">
        <v>0</v>
      </c>
      <c r="F151" s="76" t="b">
        <v>0</v>
      </c>
      <c r="G151" s="76" t="b">
        <v>0</v>
      </c>
    </row>
    <row r="152" spans="1:7" ht="15">
      <c r="A152" s="73" t="s">
        <v>1606</v>
      </c>
      <c r="B152" s="76">
        <v>3</v>
      </c>
      <c r="C152" s="87">
        <v>0.001954335496986966</v>
      </c>
      <c r="D152" s="76" t="s">
        <v>389</v>
      </c>
      <c r="E152" s="76" t="b">
        <v>0</v>
      </c>
      <c r="F152" s="76" t="b">
        <v>0</v>
      </c>
      <c r="G152" s="76" t="b">
        <v>0</v>
      </c>
    </row>
    <row r="153" spans="1:7" ht="15">
      <c r="A153" s="73" t="s">
        <v>1607</v>
      </c>
      <c r="B153" s="76">
        <v>3</v>
      </c>
      <c r="C153" s="87">
        <v>0.001954335496986966</v>
      </c>
      <c r="D153" s="76" t="s">
        <v>389</v>
      </c>
      <c r="E153" s="76" t="b">
        <v>0</v>
      </c>
      <c r="F153" s="76" t="b">
        <v>0</v>
      </c>
      <c r="G153" s="76" t="b">
        <v>0</v>
      </c>
    </row>
    <row r="154" spans="1:7" ht="15">
      <c r="A154" s="73" t="s">
        <v>1608</v>
      </c>
      <c r="B154" s="76">
        <v>3</v>
      </c>
      <c r="C154" s="87">
        <v>0.001954335496986966</v>
      </c>
      <c r="D154" s="76" t="s">
        <v>389</v>
      </c>
      <c r="E154" s="76" t="b">
        <v>0</v>
      </c>
      <c r="F154" s="76" t="b">
        <v>0</v>
      </c>
      <c r="G154" s="76" t="b">
        <v>0</v>
      </c>
    </row>
    <row r="155" spans="1:7" ht="15">
      <c r="A155" s="73" t="s">
        <v>1609</v>
      </c>
      <c r="B155" s="76">
        <v>3</v>
      </c>
      <c r="C155" s="87">
        <v>0.001954335496986966</v>
      </c>
      <c r="D155" s="76" t="s">
        <v>389</v>
      </c>
      <c r="E155" s="76" t="b">
        <v>0</v>
      </c>
      <c r="F155" s="76" t="b">
        <v>0</v>
      </c>
      <c r="G155" s="76" t="b">
        <v>0</v>
      </c>
    </row>
    <row r="156" spans="1:7" ht="15">
      <c r="A156" s="73" t="s">
        <v>1610</v>
      </c>
      <c r="B156" s="76">
        <v>3</v>
      </c>
      <c r="C156" s="87">
        <v>0.001954335496986966</v>
      </c>
      <c r="D156" s="76" t="s">
        <v>389</v>
      </c>
      <c r="E156" s="76" t="b">
        <v>0</v>
      </c>
      <c r="F156" s="76" t="b">
        <v>0</v>
      </c>
      <c r="G156" s="76" t="b">
        <v>0</v>
      </c>
    </row>
    <row r="157" spans="1:7" ht="15">
      <c r="A157" s="73" t="s">
        <v>1611</v>
      </c>
      <c r="B157" s="76">
        <v>3</v>
      </c>
      <c r="C157" s="87">
        <v>0.001954335496986966</v>
      </c>
      <c r="D157" s="76" t="s">
        <v>389</v>
      </c>
      <c r="E157" s="76" t="b">
        <v>0</v>
      </c>
      <c r="F157" s="76" t="b">
        <v>0</v>
      </c>
      <c r="G157" s="76" t="b">
        <v>0</v>
      </c>
    </row>
    <row r="158" spans="1:7" ht="15">
      <c r="A158" s="73" t="s">
        <v>1612</v>
      </c>
      <c r="B158" s="76">
        <v>3</v>
      </c>
      <c r="C158" s="87">
        <v>0.001954335496986966</v>
      </c>
      <c r="D158" s="76" t="s">
        <v>389</v>
      </c>
      <c r="E158" s="76" t="b">
        <v>0</v>
      </c>
      <c r="F158" s="76" t="b">
        <v>0</v>
      </c>
      <c r="G158" s="76" t="b">
        <v>0</v>
      </c>
    </row>
    <row r="159" spans="1:7" ht="15">
      <c r="A159" s="73" t="s">
        <v>1613</v>
      </c>
      <c r="B159" s="76">
        <v>3</v>
      </c>
      <c r="C159" s="87">
        <v>0.001954335496986966</v>
      </c>
      <c r="D159" s="76" t="s">
        <v>389</v>
      </c>
      <c r="E159" s="76" t="b">
        <v>0</v>
      </c>
      <c r="F159" s="76" t="b">
        <v>0</v>
      </c>
      <c r="G159" s="76" t="b">
        <v>0</v>
      </c>
    </row>
    <row r="160" spans="1:7" ht="15">
      <c r="A160" s="73" t="s">
        <v>1614</v>
      </c>
      <c r="B160" s="76">
        <v>3</v>
      </c>
      <c r="C160" s="87">
        <v>0.001954335496986966</v>
      </c>
      <c r="D160" s="76" t="s">
        <v>389</v>
      </c>
      <c r="E160" s="76" t="b">
        <v>0</v>
      </c>
      <c r="F160" s="76" t="b">
        <v>0</v>
      </c>
      <c r="G160" s="76" t="b">
        <v>0</v>
      </c>
    </row>
    <row r="161" spans="1:7" ht="15">
      <c r="A161" s="73" t="s">
        <v>1615</v>
      </c>
      <c r="B161" s="76">
        <v>3</v>
      </c>
      <c r="C161" s="87">
        <v>0.001954335496986966</v>
      </c>
      <c r="D161" s="76" t="s">
        <v>389</v>
      </c>
      <c r="E161" s="76" t="b">
        <v>0</v>
      </c>
      <c r="F161" s="76" t="b">
        <v>0</v>
      </c>
      <c r="G161" s="76" t="b">
        <v>0</v>
      </c>
    </row>
    <row r="162" spans="1:7" ht="15">
      <c r="A162" s="73" t="s">
        <v>1616</v>
      </c>
      <c r="B162" s="76">
        <v>3</v>
      </c>
      <c r="C162" s="87">
        <v>0.001954335496986966</v>
      </c>
      <c r="D162" s="76" t="s">
        <v>389</v>
      </c>
      <c r="E162" s="76" t="b">
        <v>0</v>
      </c>
      <c r="F162" s="76" t="b">
        <v>0</v>
      </c>
      <c r="G162" s="76" t="b">
        <v>0</v>
      </c>
    </row>
    <row r="163" spans="1:7" ht="15">
      <c r="A163" s="73" t="s">
        <v>1617</v>
      </c>
      <c r="B163" s="76">
        <v>3</v>
      </c>
      <c r="C163" s="87">
        <v>0.001954335496986966</v>
      </c>
      <c r="D163" s="76" t="s">
        <v>389</v>
      </c>
      <c r="E163" s="76" t="b">
        <v>0</v>
      </c>
      <c r="F163" s="76" t="b">
        <v>0</v>
      </c>
      <c r="G163" s="76" t="b">
        <v>0</v>
      </c>
    </row>
    <row r="164" spans="1:7" ht="15">
      <c r="A164" s="73" t="s">
        <v>1618</v>
      </c>
      <c r="B164" s="76">
        <v>3</v>
      </c>
      <c r="C164" s="87">
        <v>0.001954335496986966</v>
      </c>
      <c r="D164" s="76" t="s">
        <v>389</v>
      </c>
      <c r="E164" s="76" t="b">
        <v>0</v>
      </c>
      <c r="F164" s="76" t="b">
        <v>0</v>
      </c>
      <c r="G164" s="76" t="b">
        <v>0</v>
      </c>
    </row>
    <row r="165" spans="1:7" ht="15">
      <c r="A165" s="73" t="s">
        <v>1619</v>
      </c>
      <c r="B165" s="76">
        <v>3</v>
      </c>
      <c r="C165" s="87">
        <v>0.001954335496986966</v>
      </c>
      <c r="D165" s="76" t="s">
        <v>389</v>
      </c>
      <c r="E165" s="76" t="b">
        <v>0</v>
      </c>
      <c r="F165" s="76" t="b">
        <v>0</v>
      </c>
      <c r="G165" s="76" t="b">
        <v>0</v>
      </c>
    </row>
    <row r="166" spans="1:7" ht="15">
      <c r="A166" s="73" t="s">
        <v>1620</v>
      </c>
      <c r="B166" s="76">
        <v>3</v>
      </c>
      <c r="C166" s="87">
        <v>0.001954335496986966</v>
      </c>
      <c r="D166" s="76" t="s">
        <v>389</v>
      </c>
      <c r="E166" s="76" t="b">
        <v>0</v>
      </c>
      <c r="F166" s="76" t="b">
        <v>0</v>
      </c>
      <c r="G166" s="76" t="b">
        <v>0</v>
      </c>
    </row>
    <row r="167" spans="1:7" ht="15">
      <c r="A167" s="73" t="s">
        <v>1621</v>
      </c>
      <c r="B167" s="76">
        <v>3</v>
      </c>
      <c r="C167" s="87">
        <v>0.001954335496986966</v>
      </c>
      <c r="D167" s="76" t="s">
        <v>389</v>
      </c>
      <c r="E167" s="76" t="b">
        <v>0</v>
      </c>
      <c r="F167" s="76" t="b">
        <v>0</v>
      </c>
      <c r="G167" s="76" t="b">
        <v>0</v>
      </c>
    </row>
    <row r="168" spans="1:7" ht="15">
      <c r="A168" s="73" t="s">
        <v>1622</v>
      </c>
      <c r="B168" s="76">
        <v>3</v>
      </c>
      <c r="C168" s="87">
        <v>0.001954335496986966</v>
      </c>
      <c r="D168" s="76" t="s">
        <v>389</v>
      </c>
      <c r="E168" s="76" t="b">
        <v>0</v>
      </c>
      <c r="F168" s="76" t="b">
        <v>0</v>
      </c>
      <c r="G168" s="76" t="b">
        <v>0</v>
      </c>
    </row>
    <row r="169" spans="1:7" ht="15">
      <c r="A169" s="73" t="s">
        <v>641</v>
      </c>
      <c r="B169" s="76">
        <v>3</v>
      </c>
      <c r="C169" s="87">
        <v>0.001954335496986966</v>
      </c>
      <c r="D169" s="76" t="s">
        <v>389</v>
      </c>
      <c r="E169" s="76" t="b">
        <v>0</v>
      </c>
      <c r="F169" s="76" t="b">
        <v>0</v>
      </c>
      <c r="G169" s="76" t="b">
        <v>0</v>
      </c>
    </row>
    <row r="170" spans="1:7" ht="15">
      <c r="A170" s="73" t="s">
        <v>1623</v>
      </c>
      <c r="B170" s="76">
        <v>3</v>
      </c>
      <c r="C170" s="87">
        <v>0.001954335496986966</v>
      </c>
      <c r="D170" s="76" t="s">
        <v>389</v>
      </c>
      <c r="E170" s="76" t="b">
        <v>0</v>
      </c>
      <c r="F170" s="76" t="b">
        <v>0</v>
      </c>
      <c r="G170" s="76" t="b">
        <v>0</v>
      </c>
    </row>
    <row r="171" spans="1:7" ht="15">
      <c r="A171" s="73" t="s">
        <v>640</v>
      </c>
      <c r="B171" s="76">
        <v>3</v>
      </c>
      <c r="C171" s="87">
        <v>0.001954335496986966</v>
      </c>
      <c r="D171" s="76" t="s">
        <v>389</v>
      </c>
      <c r="E171" s="76" t="b">
        <v>0</v>
      </c>
      <c r="F171" s="76" t="b">
        <v>0</v>
      </c>
      <c r="G171" s="76" t="b">
        <v>0</v>
      </c>
    </row>
    <row r="172" spans="1:7" ht="15">
      <c r="A172" s="73" t="s">
        <v>1624</v>
      </c>
      <c r="B172" s="76">
        <v>3</v>
      </c>
      <c r="C172" s="87">
        <v>0.001954335496986966</v>
      </c>
      <c r="D172" s="76" t="s">
        <v>389</v>
      </c>
      <c r="E172" s="76" t="b">
        <v>0</v>
      </c>
      <c r="F172" s="76" t="b">
        <v>0</v>
      </c>
      <c r="G172" s="76" t="b">
        <v>0</v>
      </c>
    </row>
    <row r="173" spans="1:7" ht="15">
      <c r="A173" s="73" t="s">
        <v>1625</v>
      </c>
      <c r="B173" s="76">
        <v>3</v>
      </c>
      <c r="C173" s="87">
        <v>0.001954335496986966</v>
      </c>
      <c r="D173" s="76" t="s">
        <v>389</v>
      </c>
      <c r="E173" s="76" t="b">
        <v>0</v>
      </c>
      <c r="F173" s="76" t="b">
        <v>0</v>
      </c>
      <c r="G173" s="76" t="b">
        <v>0</v>
      </c>
    </row>
    <row r="174" spans="1:7" ht="15">
      <c r="A174" s="73" t="s">
        <v>1626</v>
      </c>
      <c r="B174" s="76">
        <v>3</v>
      </c>
      <c r="C174" s="87">
        <v>0.001954335496986966</v>
      </c>
      <c r="D174" s="76" t="s">
        <v>389</v>
      </c>
      <c r="E174" s="76" t="b">
        <v>0</v>
      </c>
      <c r="F174" s="76" t="b">
        <v>0</v>
      </c>
      <c r="G174" s="76" t="b">
        <v>0</v>
      </c>
    </row>
    <row r="175" spans="1:7" ht="15">
      <c r="A175" s="73" t="s">
        <v>1627</v>
      </c>
      <c r="B175" s="76">
        <v>3</v>
      </c>
      <c r="C175" s="87">
        <v>0.001954335496986966</v>
      </c>
      <c r="D175" s="76" t="s">
        <v>389</v>
      </c>
      <c r="E175" s="76" t="b">
        <v>0</v>
      </c>
      <c r="F175" s="76" t="b">
        <v>0</v>
      </c>
      <c r="G175" s="76" t="b">
        <v>0</v>
      </c>
    </row>
    <row r="176" spans="1:7" ht="15">
      <c r="A176" s="73" t="s">
        <v>1628</v>
      </c>
      <c r="B176" s="76">
        <v>3</v>
      </c>
      <c r="C176" s="87">
        <v>0.001954335496986966</v>
      </c>
      <c r="D176" s="76" t="s">
        <v>389</v>
      </c>
      <c r="E176" s="76" t="b">
        <v>0</v>
      </c>
      <c r="F176" s="76" t="b">
        <v>0</v>
      </c>
      <c r="G176" s="76" t="b">
        <v>0</v>
      </c>
    </row>
    <row r="177" spans="1:7" ht="15">
      <c r="A177" s="73" t="s">
        <v>1629</v>
      </c>
      <c r="B177" s="76">
        <v>3</v>
      </c>
      <c r="C177" s="87">
        <v>0.001954335496986966</v>
      </c>
      <c r="D177" s="76" t="s">
        <v>389</v>
      </c>
      <c r="E177" s="76" t="b">
        <v>0</v>
      </c>
      <c r="F177" s="76" t="b">
        <v>0</v>
      </c>
      <c r="G177" s="76" t="b">
        <v>0</v>
      </c>
    </row>
    <row r="178" spans="1:7" ht="15">
      <c r="A178" s="73" t="s">
        <v>1630</v>
      </c>
      <c r="B178" s="76">
        <v>2</v>
      </c>
      <c r="C178" s="87">
        <v>0.0014503087147952857</v>
      </c>
      <c r="D178" s="76" t="s">
        <v>389</v>
      </c>
      <c r="E178" s="76" t="b">
        <v>0</v>
      </c>
      <c r="F178" s="76" t="b">
        <v>0</v>
      </c>
      <c r="G178" s="76" t="b">
        <v>0</v>
      </c>
    </row>
    <row r="179" spans="1:7" ht="15">
      <c r="A179" s="73" t="s">
        <v>1631</v>
      </c>
      <c r="B179" s="76">
        <v>2</v>
      </c>
      <c r="C179" s="87">
        <v>0.0014503087147952857</v>
      </c>
      <c r="D179" s="76" t="s">
        <v>389</v>
      </c>
      <c r="E179" s="76" t="b">
        <v>0</v>
      </c>
      <c r="F179" s="76" t="b">
        <v>0</v>
      </c>
      <c r="G179" s="76" t="b">
        <v>0</v>
      </c>
    </row>
    <row r="180" spans="1:7" ht="15">
      <c r="A180" s="73" t="s">
        <v>1632</v>
      </c>
      <c r="B180" s="76">
        <v>2</v>
      </c>
      <c r="C180" s="87">
        <v>0.0014503087147952857</v>
      </c>
      <c r="D180" s="76" t="s">
        <v>389</v>
      </c>
      <c r="E180" s="76" t="b">
        <v>0</v>
      </c>
      <c r="F180" s="76" t="b">
        <v>0</v>
      </c>
      <c r="G180" s="76" t="b">
        <v>0</v>
      </c>
    </row>
    <row r="181" spans="1:7" ht="15">
      <c r="A181" s="73" t="s">
        <v>1633</v>
      </c>
      <c r="B181" s="76">
        <v>2</v>
      </c>
      <c r="C181" s="87">
        <v>0.0014503087147952857</v>
      </c>
      <c r="D181" s="76" t="s">
        <v>389</v>
      </c>
      <c r="E181" s="76" t="b">
        <v>0</v>
      </c>
      <c r="F181" s="76" t="b">
        <v>0</v>
      </c>
      <c r="G181" s="76" t="b">
        <v>0</v>
      </c>
    </row>
    <row r="182" spans="1:7" ht="15">
      <c r="A182" s="73" t="s">
        <v>1634</v>
      </c>
      <c r="B182" s="76">
        <v>2</v>
      </c>
      <c r="C182" s="87">
        <v>0.0014503087147952857</v>
      </c>
      <c r="D182" s="76" t="s">
        <v>389</v>
      </c>
      <c r="E182" s="76" t="b">
        <v>0</v>
      </c>
      <c r="F182" s="76" t="b">
        <v>0</v>
      </c>
      <c r="G182" s="76" t="b">
        <v>0</v>
      </c>
    </row>
    <row r="183" spans="1:7" ht="15">
      <c r="A183" s="73" t="s">
        <v>1635</v>
      </c>
      <c r="B183" s="76">
        <v>2</v>
      </c>
      <c r="C183" s="87">
        <v>0.0014503087147952857</v>
      </c>
      <c r="D183" s="76" t="s">
        <v>389</v>
      </c>
      <c r="E183" s="76" t="b">
        <v>0</v>
      </c>
      <c r="F183" s="76" t="b">
        <v>0</v>
      </c>
      <c r="G183" s="76" t="b">
        <v>0</v>
      </c>
    </row>
    <row r="184" spans="1:7" ht="15">
      <c r="A184" s="73" t="s">
        <v>1636</v>
      </c>
      <c r="B184" s="76">
        <v>2</v>
      </c>
      <c r="C184" s="87">
        <v>0.0014503087147952857</v>
      </c>
      <c r="D184" s="76" t="s">
        <v>389</v>
      </c>
      <c r="E184" s="76" t="b">
        <v>0</v>
      </c>
      <c r="F184" s="76" t="b">
        <v>0</v>
      </c>
      <c r="G184" s="76" t="b">
        <v>0</v>
      </c>
    </row>
    <row r="185" spans="1:7" ht="15">
      <c r="A185" s="73" t="s">
        <v>1637</v>
      </c>
      <c r="B185" s="76">
        <v>2</v>
      </c>
      <c r="C185" s="87">
        <v>0.0014503087147952857</v>
      </c>
      <c r="D185" s="76" t="s">
        <v>389</v>
      </c>
      <c r="E185" s="76" t="b">
        <v>0</v>
      </c>
      <c r="F185" s="76" t="b">
        <v>0</v>
      </c>
      <c r="G185" s="76" t="b">
        <v>0</v>
      </c>
    </row>
    <row r="186" spans="1:7" ht="15">
      <c r="A186" s="73" t="s">
        <v>1638</v>
      </c>
      <c r="B186" s="76">
        <v>2</v>
      </c>
      <c r="C186" s="87">
        <v>0.0014503087147952857</v>
      </c>
      <c r="D186" s="76" t="s">
        <v>389</v>
      </c>
      <c r="E186" s="76" t="b">
        <v>0</v>
      </c>
      <c r="F186" s="76" t="b">
        <v>0</v>
      </c>
      <c r="G186" s="76" t="b">
        <v>0</v>
      </c>
    </row>
    <row r="187" spans="1:7" ht="15">
      <c r="A187" s="73" t="s">
        <v>381</v>
      </c>
      <c r="B187" s="76">
        <v>2</v>
      </c>
      <c r="C187" s="87">
        <v>0.0014503087147952857</v>
      </c>
      <c r="D187" s="76" t="s">
        <v>389</v>
      </c>
      <c r="E187" s="76" t="b">
        <v>0</v>
      </c>
      <c r="F187" s="76" t="b">
        <v>0</v>
      </c>
      <c r="G187" s="76" t="b">
        <v>0</v>
      </c>
    </row>
    <row r="188" spans="1:7" ht="15">
      <c r="A188" s="73" t="s">
        <v>261</v>
      </c>
      <c r="B188" s="76">
        <v>2</v>
      </c>
      <c r="C188" s="87">
        <v>0.0014503087147952857</v>
      </c>
      <c r="D188" s="76" t="s">
        <v>389</v>
      </c>
      <c r="E188" s="76" t="b">
        <v>0</v>
      </c>
      <c r="F188" s="76" t="b">
        <v>0</v>
      </c>
      <c r="G188" s="76" t="b">
        <v>0</v>
      </c>
    </row>
    <row r="189" spans="1:7" ht="15">
      <c r="A189" s="73" t="s">
        <v>1639</v>
      </c>
      <c r="B189" s="76">
        <v>2</v>
      </c>
      <c r="C189" s="87">
        <v>0.0014503087147952857</v>
      </c>
      <c r="D189" s="76" t="s">
        <v>389</v>
      </c>
      <c r="E189" s="76" t="b">
        <v>0</v>
      </c>
      <c r="F189" s="76" t="b">
        <v>0</v>
      </c>
      <c r="G189" s="76" t="b">
        <v>0</v>
      </c>
    </row>
    <row r="190" spans="1:7" ht="15">
      <c r="A190" s="73" t="s">
        <v>1640</v>
      </c>
      <c r="B190" s="76">
        <v>2</v>
      </c>
      <c r="C190" s="87">
        <v>0.001702322105891126</v>
      </c>
      <c r="D190" s="76" t="s">
        <v>389</v>
      </c>
      <c r="E190" s="76" t="b">
        <v>0</v>
      </c>
      <c r="F190" s="76" t="b">
        <v>0</v>
      </c>
      <c r="G190" s="76" t="b">
        <v>0</v>
      </c>
    </row>
    <row r="191" spans="1:7" ht="15">
      <c r="A191" s="73" t="s">
        <v>1641</v>
      </c>
      <c r="B191" s="76">
        <v>2</v>
      </c>
      <c r="C191" s="87">
        <v>0.001702322105891126</v>
      </c>
      <c r="D191" s="76" t="s">
        <v>389</v>
      </c>
      <c r="E191" s="76" t="b">
        <v>0</v>
      </c>
      <c r="F191" s="76" t="b">
        <v>0</v>
      </c>
      <c r="G191" s="76" t="b">
        <v>0</v>
      </c>
    </row>
    <row r="192" spans="1:7" ht="15">
      <c r="A192" s="73" t="s">
        <v>1642</v>
      </c>
      <c r="B192" s="76">
        <v>2</v>
      </c>
      <c r="C192" s="87">
        <v>0.0014503087147952857</v>
      </c>
      <c r="D192" s="76" t="s">
        <v>389</v>
      </c>
      <c r="E192" s="76" t="b">
        <v>0</v>
      </c>
      <c r="F192" s="76" t="b">
        <v>0</v>
      </c>
      <c r="G192" s="76" t="b">
        <v>0</v>
      </c>
    </row>
    <row r="193" spans="1:7" ht="15">
      <c r="A193" s="73" t="s">
        <v>1643</v>
      </c>
      <c r="B193" s="76">
        <v>2</v>
      </c>
      <c r="C193" s="87">
        <v>0.0014503087147952857</v>
      </c>
      <c r="D193" s="76" t="s">
        <v>389</v>
      </c>
      <c r="E193" s="76" t="b">
        <v>0</v>
      </c>
      <c r="F193" s="76" t="b">
        <v>0</v>
      </c>
      <c r="G193" s="76" t="b">
        <v>0</v>
      </c>
    </row>
    <row r="194" spans="1:7" ht="15">
      <c r="A194" s="73" t="s">
        <v>1644</v>
      </c>
      <c r="B194" s="76">
        <v>2</v>
      </c>
      <c r="C194" s="87">
        <v>0.0014503087147952857</v>
      </c>
      <c r="D194" s="76" t="s">
        <v>389</v>
      </c>
      <c r="E194" s="76" t="b">
        <v>0</v>
      </c>
      <c r="F194" s="76" t="b">
        <v>0</v>
      </c>
      <c r="G194" s="76" t="b">
        <v>0</v>
      </c>
    </row>
    <row r="195" spans="1:7" ht="15">
      <c r="A195" s="73" t="s">
        <v>1645</v>
      </c>
      <c r="B195" s="76">
        <v>2</v>
      </c>
      <c r="C195" s="87">
        <v>0.0014503087147952857</v>
      </c>
      <c r="D195" s="76" t="s">
        <v>389</v>
      </c>
      <c r="E195" s="76" t="b">
        <v>0</v>
      </c>
      <c r="F195" s="76" t="b">
        <v>0</v>
      </c>
      <c r="G195" s="76" t="b">
        <v>0</v>
      </c>
    </row>
    <row r="196" spans="1:7" ht="15">
      <c r="A196" s="73" t="s">
        <v>1646</v>
      </c>
      <c r="B196" s="76">
        <v>2</v>
      </c>
      <c r="C196" s="87">
        <v>0.0014503087147952857</v>
      </c>
      <c r="D196" s="76" t="s">
        <v>389</v>
      </c>
      <c r="E196" s="76" t="b">
        <v>0</v>
      </c>
      <c r="F196" s="76" t="b">
        <v>0</v>
      </c>
      <c r="G196" s="76" t="b">
        <v>0</v>
      </c>
    </row>
    <row r="197" spans="1:7" ht="15">
      <c r="A197" s="73" t="s">
        <v>1647</v>
      </c>
      <c r="B197" s="76">
        <v>2</v>
      </c>
      <c r="C197" s="87">
        <v>0.0014503087147952857</v>
      </c>
      <c r="D197" s="76" t="s">
        <v>389</v>
      </c>
      <c r="E197" s="76" t="b">
        <v>0</v>
      </c>
      <c r="F197" s="76" t="b">
        <v>0</v>
      </c>
      <c r="G197" s="76" t="b">
        <v>0</v>
      </c>
    </row>
    <row r="198" spans="1:7" ht="15">
      <c r="A198" s="73" t="s">
        <v>1648</v>
      </c>
      <c r="B198" s="76">
        <v>2</v>
      </c>
      <c r="C198" s="87">
        <v>0.0014503087147952857</v>
      </c>
      <c r="D198" s="76" t="s">
        <v>389</v>
      </c>
      <c r="E198" s="76" t="b">
        <v>0</v>
      </c>
      <c r="F198" s="76" t="b">
        <v>0</v>
      </c>
      <c r="G198" s="76" t="b">
        <v>0</v>
      </c>
    </row>
    <row r="199" spans="1:7" ht="15">
      <c r="A199" s="73" t="s">
        <v>649</v>
      </c>
      <c r="B199" s="76">
        <v>2</v>
      </c>
      <c r="C199" s="87">
        <v>0.0014503087147952857</v>
      </c>
      <c r="D199" s="76" t="s">
        <v>389</v>
      </c>
      <c r="E199" s="76" t="b">
        <v>0</v>
      </c>
      <c r="F199" s="76" t="b">
        <v>0</v>
      </c>
      <c r="G199" s="76" t="b">
        <v>0</v>
      </c>
    </row>
    <row r="200" spans="1:7" ht="15">
      <c r="A200" s="73" t="s">
        <v>1649</v>
      </c>
      <c r="B200" s="76">
        <v>2</v>
      </c>
      <c r="C200" s="87">
        <v>0.0014503087147952857</v>
      </c>
      <c r="D200" s="76" t="s">
        <v>389</v>
      </c>
      <c r="E200" s="76" t="b">
        <v>0</v>
      </c>
      <c r="F200" s="76" t="b">
        <v>0</v>
      </c>
      <c r="G200" s="76" t="b">
        <v>0</v>
      </c>
    </row>
    <row r="201" spans="1:7" ht="15">
      <c r="A201" s="73" t="s">
        <v>1650</v>
      </c>
      <c r="B201" s="76">
        <v>2</v>
      </c>
      <c r="C201" s="87">
        <v>0.0014503087147952857</v>
      </c>
      <c r="D201" s="76" t="s">
        <v>389</v>
      </c>
      <c r="E201" s="76" t="b">
        <v>0</v>
      </c>
      <c r="F201" s="76" t="b">
        <v>0</v>
      </c>
      <c r="G201" s="76" t="b">
        <v>0</v>
      </c>
    </row>
    <row r="202" spans="1:7" ht="15">
      <c r="A202" s="73" t="s">
        <v>1651</v>
      </c>
      <c r="B202" s="76">
        <v>2</v>
      </c>
      <c r="C202" s="87">
        <v>0.0014503087147952857</v>
      </c>
      <c r="D202" s="76" t="s">
        <v>389</v>
      </c>
      <c r="E202" s="76" t="b">
        <v>0</v>
      </c>
      <c r="F202" s="76" t="b">
        <v>0</v>
      </c>
      <c r="G202" s="76" t="b">
        <v>0</v>
      </c>
    </row>
    <row r="203" spans="1:7" ht="15">
      <c r="A203" s="73" t="s">
        <v>1652</v>
      </c>
      <c r="B203" s="76">
        <v>2</v>
      </c>
      <c r="C203" s="87">
        <v>0.0014503087147952857</v>
      </c>
      <c r="D203" s="76" t="s">
        <v>389</v>
      </c>
      <c r="E203" s="76" t="b">
        <v>1</v>
      </c>
      <c r="F203" s="76" t="b">
        <v>0</v>
      </c>
      <c r="G203" s="76" t="b">
        <v>0</v>
      </c>
    </row>
    <row r="204" spans="1:7" ht="15">
      <c r="A204" s="73" t="s">
        <v>1653</v>
      </c>
      <c r="B204" s="76">
        <v>2</v>
      </c>
      <c r="C204" s="87">
        <v>0.0014503087147952857</v>
      </c>
      <c r="D204" s="76" t="s">
        <v>389</v>
      </c>
      <c r="E204" s="76" t="b">
        <v>0</v>
      </c>
      <c r="F204" s="76" t="b">
        <v>0</v>
      </c>
      <c r="G204" s="76" t="b">
        <v>0</v>
      </c>
    </row>
    <row r="205" spans="1:7" ht="15">
      <c r="A205" s="73" t="s">
        <v>1654</v>
      </c>
      <c r="B205" s="76">
        <v>2</v>
      </c>
      <c r="C205" s="87">
        <v>0.0014503087147952857</v>
      </c>
      <c r="D205" s="76" t="s">
        <v>389</v>
      </c>
      <c r="E205" s="76" t="b">
        <v>0</v>
      </c>
      <c r="F205" s="76" t="b">
        <v>0</v>
      </c>
      <c r="G205" s="76" t="b">
        <v>0</v>
      </c>
    </row>
    <row r="206" spans="1:7" ht="15">
      <c r="A206" s="73" t="s">
        <v>1655</v>
      </c>
      <c r="B206" s="76">
        <v>2</v>
      </c>
      <c r="C206" s="87">
        <v>0.0014503087147952857</v>
      </c>
      <c r="D206" s="76" t="s">
        <v>389</v>
      </c>
      <c r="E206" s="76" t="b">
        <v>0</v>
      </c>
      <c r="F206" s="76" t="b">
        <v>0</v>
      </c>
      <c r="G206" s="76" t="b">
        <v>0</v>
      </c>
    </row>
    <row r="207" spans="1:7" ht="15">
      <c r="A207" s="73" t="s">
        <v>1656</v>
      </c>
      <c r="B207" s="76">
        <v>2</v>
      </c>
      <c r="C207" s="87">
        <v>0.0014503087147952857</v>
      </c>
      <c r="D207" s="76" t="s">
        <v>389</v>
      </c>
      <c r="E207" s="76" t="b">
        <v>0</v>
      </c>
      <c r="F207" s="76" t="b">
        <v>0</v>
      </c>
      <c r="G207" s="76" t="b">
        <v>0</v>
      </c>
    </row>
    <row r="208" spans="1:7" ht="15">
      <c r="A208" s="73" t="s">
        <v>1657</v>
      </c>
      <c r="B208" s="76">
        <v>2</v>
      </c>
      <c r="C208" s="87">
        <v>0.0014503087147952857</v>
      </c>
      <c r="D208" s="76" t="s">
        <v>389</v>
      </c>
      <c r="E208" s="76" t="b">
        <v>0</v>
      </c>
      <c r="F208" s="76" t="b">
        <v>0</v>
      </c>
      <c r="G208" s="76" t="b">
        <v>0</v>
      </c>
    </row>
    <row r="209" spans="1:7" ht="15">
      <c r="A209" s="73" t="s">
        <v>1658</v>
      </c>
      <c r="B209" s="76">
        <v>2</v>
      </c>
      <c r="C209" s="87">
        <v>0.0014503087147952857</v>
      </c>
      <c r="D209" s="76" t="s">
        <v>389</v>
      </c>
      <c r="E209" s="76" t="b">
        <v>0</v>
      </c>
      <c r="F209" s="76" t="b">
        <v>0</v>
      </c>
      <c r="G209" s="76" t="b">
        <v>0</v>
      </c>
    </row>
    <row r="210" spans="1:7" ht="15">
      <c r="A210" s="73" t="s">
        <v>1659</v>
      </c>
      <c r="B210" s="76">
        <v>2</v>
      </c>
      <c r="C210" s="87">
        <v>0.0014503087147952857</v>
      </c>
      <c r="D210" s="76" t="s">
        <v>389</v>
      </c>
      <c r="E210" s="76" t="b">
        <v>0</v>
      </c>
      <c r="F210" s="76" t="b">
        <v>0</v>
      </c>
      <c r="G210" s="76" t="b">
        <v>0</v>
      </c>
    </row>
    <row r="211" spans="1:7" ht="15">
      <c r="A211" s="73" t="s">
        <v>1660</v>
      </c>
      <c r="B211" s="76">
        <v>2</v>
      </c>
      <c r="C211" s="87">
        <v>0.0014503087147952857</v>
      </c>
      <c r="D211" s="76" t="s">
        <v>389</v>
      </c>
      <c r="E211" s="76" t="b">
        <v>0</v>
      </c>
      <c r="F211" s="76" t="b">
        <v>0</v>
      </c>
      <c r="G211" s="76" t="b">
        <v>0</v>
      </c>
    </row>
    <row r="212" spans="1:7" ht="15">
      <c r="A212" s="73" t="s">
        <v>1661</v>
      </c>
      <c r="B212" s="76">
        <v>2</v>
      </c>
      <c r="C212" s="87">
        <v>0.0014503087147952857</v>
      </c>
      <c r="D212" s="76" t="s">
        <v>389</v>
      </c>
      <c r="E212" s="76" t="b">
        <v>0</v>
      </c>
      <c r="F212" s="76" t="b">
        <v>0</v>
      </c>
      <c r="G212" s="76" t="b">
        <v>0</v>
      </c>
    </row>
    <row r="213" spans="1:7" ht="15">
      <c r="A213" s="73" t="s">
        <v>1662</v>
      </c>
      <c r="B213" s="76">
        <v>2</v>
      </c>
      <c r="C213" s="87">
        <v>0.0014503087147952857</v>
      </c>
      <c r="D213" s="76" t="s">
        <v>389</v>
      </c>
      <c r="E213" s="76" t="b">
        <v>0</v>
      </c>
      <c r="F213" s="76" t="b">
        <v>0</v>
      </c>
      <c r="G213" s="76" t="b">
        <v>0</v>
      </c>
    </row>
    <row r="214" spans="1:7" ht="15">
      <c r="A214" s="73" t="s">
        <v>1663</v>
      </c>
      <c r="B214" s="76">
        <v>2</v>
      </c>
      <c r="C214" s="87">
        <v>0.0014503087147952857</v>
      </c>
      <c r="D214" s="76" t="s">
        <v>389</v>
      </c>
      <c r="E214" s="76" t="b">
        <v>0</v>
      </c>
      <c r="F214" s="76" t="b">
        <v>0</v>
      </c>
      <c r="G214" s="76" t="b">
        <v>0</v>
      </c>
    </row>
    <row r="215" spans="1:7" ht="15">
      <c r="A215" s="73" t="s">
        <v>1664</v>
      </c>
      <c r="B215" s="76">
        <v>2</v>
      </c>
      <c r="C215" s="87">
        <v>0.0014503087147952857</v>
      </c>
      <c r="D215" s="76" t="s">
        <v>389</v>
      </c>
      <c r="E215" s="76" t="b">
        <v>0</v>
      </c>
      <c r="F215" s="76" t="b">
        <v>0</v>
      </c>
      <c r="G215" s="76" t="b">
        <v>0</v>
      </c>
    </row>
    <row r="216" spans="1:7" ht="15">
      <c r="A216" s="73" t="s">
        <v>1665</v>
      </c>
      <c r="B216" s="76">
        <v>2</v>
      </c>
      <c r="C216" s="87">
        <v>0.001702322105891126</v>
      </c>
      <c r="D216" s="76" t="s">
        <v>389</v>
      </c>
      <c r="E216" s="76" t="b">
        <v>0</v>
      </c>
      <c r="F216" s="76" t="b">
        <v>0</v>
      </c>
      <c r="G216" s="76" t="b">
        <v>0</v>
      </c>
    </row>
    <row r="217" spans="1:7" ht="15">
      <c r="A217" s="73" t="s">
        <v>1666</v>
      </c>
      <c r="B217" s="76">
        <v>2</v>
      </c>
      <c r="C217" s="87">
        <v>0.0014503087147952857</v>
      </c>
      <c r="D217" s="76" t="s">
        <v>389</v>
      </c>
      <c r="E217" s="76" t="b">
        <v>0</v>
      </c>
      <c r="F217" s="76" t="b">
        <v>0</v>
      </c>
      <c r="G217" s="76" t="b">
        <v>0</v>
      </c>
    </row>
    <row r="218" spans="1:7" ht="15">
      <c r="A218" s="73" t="s">
        <v>1667</v>
      </c>
      <c r="B218" s="76">
        <v>2</v>
      </c>
      <c r="C218" s="87">
        <v>0.001702322105891126</v>
      </c>
      <c r="D218" s="76" t="s">
        <v>389</v>
      </c>
      <c r="E218" s="76" t="b">
        <v>0</v>
      </c>
      <c r="F218" s="76" t="b">
        <v>0</v>
      </c>
      <c r="G218" s="76" t="b">
        <v>0</v>
      </c>
    </row>
    <row r="219" spans="1:7" ht="15">
      <c r="A219" s="73" t="s">
        <v>1668</v>
      </c>
      <c r="B219" s="76">
        <v>2</v>
      </c>
      <c r="C219" s="87">
        <v>0.0014503087147952857</v>
      </c>
      <c r="D219" s="76" t="s">
        <v>389</v>
      </c>
      <c r="E219" s="76" t="b">
        <v>0</v>
      </c>
      <c r="F219" s="76" t="b">
        <v>0</v>
      </c>
      <c r="G219" s="76" t="b">
        <v>0</v>
      </c>
    </row>
    <row r="220" spans="1:7" ht="15">
      <c r="A220" s="73" t="s">
        <v>1669</v>
      </c>
      <c r="B220" s="76">
        <v>2</v>
      </c>
      <c r="C220" s="87">
        <v>0.0014503087147952857</v>
      </c>
      <c r="D220" s="76" t="s">
        <v>389</v>
      </c>
      <c r="E220" s="76" t="b">
        <v>0</v>
      </c>
      <c r="F220" s="76" t="b">
        <v>0</v>
      </c>
      <c r="G220" s="76" t="b">
        <v>0</v>
      </c>
    </row>
    <row r="221" spans="1:7" ht="15">
      <c r="A221" s="73" t="s">
        <v>1670</v>
      </c>
      <c r="B221" s="76">
        <v>2</v>
      </c>
      <c r="C221" s="87">
        <v>0.0014503087147952857</v>
      </c>
      <c r="D221" s="76" t="s">
        <v>389</v>
      </c>
      <c r="E221" s="76" t="b">
        <v>0</v>
      </c>
      <c r="F221" s="76" t="b">
        <v>0</v>
      </c>
      <c r="G221" s="76" t="b">
        <v>0</v>
      </c>
    </row>
    <row r="222" spans="1:7" ht="15">
      <c r="A222" s="73" t="s">
        <v>1671</v>
      </c>
      <c r="B222" s="76">
        <v>2</v>
      </c>
      <c r="C222" s="87">
        <v>0.0014503087147952857</v>
      </c>
      <c r="D222" s="76" t="s">
        <v>389</v>
      </c>
      <c r="E222" s="76" t="b">
        <v>1</v>
      </c>
      <c r="F222" s="76" t="b">
        <v>0</v>
      </c>
      <c r="G222" s="76" t="b">
        <v>0</v>
      </c>
    </row>
    <row r="223" spans="1:7" ht="15">
      <c r="A223" s="73" t="s">
        <v>1672</v>
      </c>
      <c r="B223" s="76">
        <v>2</v>
      </c>
      <c r="C223" s="87">
        <v>0.0014503087147952857</v>
      </c>
      <c r="D223" s="76" t="s">
        <v>389</v>
      </c>
      <c r="E223" s="76" t="b">
        <v>0</v>
      </c>
      <c r="F223" s="76" t="b">
        <v>0</v>
      </c>
      <c r="G223" s="76" t="b">
        <v>0</v>
      </c>
    </row>
    <row r="224" spans="1:7" ht="15">
      <c r="A224" s="73" t="s">
        <v>1673</v>
      </c>
      <c r="B224" s="76">
        <v>2</v>
      </c>
      <c r="C224" s="87">
        <v>0.0014503087147952857</v>
      </c>
      <c r="D224" s="76" t="s">
        <v>389</v>
      </c>
      <c r="E224" s="76" t="b">
        <v>0</v>
      </c>
      <c r="F224" s="76" t="b">
        <v>0</v>
      </c>
      <c r="G224" s="76" t="b">
        <v>0</v>
      </c>
    </row>
    <row r="225" spans="1:7" ht="15">
      <c r="A225" s="73" t="s">
        <v>1674</v>
      </c>
      <c r="B225" s="76">
        <v>2</v>
      </c>
      <c r="C225" s="87">
        <v>0.001702322105891126</v>
      </c>
      <c r="D225" s="76" t="s">
        <v>389</v>
      </c>
      <c r="E225" s="76" t="b">
        <v>0</v>
      </c>
      <c r="F225" s="76" t="b">
        <v>0</v>
      </c>
      <c r="G225" s="76" t="b">
        <v>0</v>
      </c>
    </row>
    <row r="226" spans="1:7" ht="15">
      <c r="A226" s="73" t="s">
        <v>1675</v>
      </c>
      <c r="B226" s="76">
        <v>2</v>
      </c>
      <c r="C226" s="87">
        <v>0.0014503087147952857</v>
      </c>
      <c r="D226" s="76" t="s">
        <v>389</v>
      </c>
      <c r="E226" s="76" t="b">
        <v>0</v>
      </c>
      <c r="F226" s="76" t="b">
        <v>0</v>
      </c>
      <c r="G226" s="76" t="b">
        <v>0</v>
      </c>
    </row>
    <row r="227" spans="1:7" ht="15">
      <c r="A227" s="73" t="s">
        <v>1676</v>
      </c>
      <c r="B227" s="76">
        <v>2</v>
      </c>
      <c r="C227" s="87">
        <v>0.0014503087147952857</v>
      </c>
      <c r="D227" s="76" t="s">
        <v>389</v>
      </c>
      <c r="E227" s="76" t="b">
        <v>0</v>
      </c>
      <c r="F227" s="76" t="b">
        <v>0</v>
      </c>
      <c r="G227" s="76" t="b">
        <v>0</v>
      </c>
    </row>
    <row r="228" spans="1:7" ht="15">
      <c r="A228" s="73" t="s">
        <v>1677</v>
      </c>
      <c r="B228" s="76">
        <v>2</v>
      </c>
      <c r="C228" s="87">
        <v>0.0014503087147952857</v>
      </c>
      <c r="D228" s="76" t="s">
        <v>389</v>
      </c>
      <c r="E228" s="76" t="b">
        <v>0</v>
      </c>
      <c r="F228" s="76" t="b">
        <v>0</v>
      </c>
      <c r="G228" s="76" t="b">
        <v>0</v>
      </c>
    </row>
    <row r="229" spans="1:7" ht="15">
      <c r="A229" s="73" t="s">
        <v>1678</v>
      </c>
      <c r="B229" s="76">
        <v>2</v>
      </c>
      <c r="C229" s="87">
        <v>0.0014503087147952857</v>
      </c>
      <c r="D229" s="76" t="s">
        <v>389</v>
      </c>
      <c r="E229" s="76" t="b">
        <v>0</v>
      </c>
      <c r="F229" s="76" t="b">
        <v>0</v>
      </c>
      <c r="G229" s="76" t="b">
        <v>0</v>
      </c>
    </row>
    <row r="230" spans="1:7" ht="15">
      <c r="A230" s="73" t="s">
        <v>1679</v>
      </c>
      <c r="B230" s="76">
        <v>2</v>
      </c>
      <c r="C230" s="87">
        <v>0.0014503087147952857</v>
      </c>
      <c r="D230" s="76" t="s">
        <v>389</v>
      </c>
      <c r="E230" s="76" t="b">
        <v>0</v>
      </c>
      <c r="F230" s="76" t="b">
        <v>0</v>
      </c>
      <c r="G230" s="76" t="b">
        <v>0</v>
      </c>
    </row>
    <row r="231" spans="1:7" ht="15">
      <c r="A231" s="73" t="s">
        <v>1680</v>
      </c>
      <c r="B231" s="76">
        <v>2</v>
      </c>
      <c r="C231" s="87">
        <v>0.0014503087147952857</v>
      </c>
      <c r="D231" s="76" t="s">
        <v>389</v>
      </c>
      <c r="E231" s="76" t="b">
        <v>0</v>
      </c>
      <c r="F231" s="76" t="b">
        <v>0</v>
      </c>
      <c r="G231" s="76" t="b">
        <v>0</v>
      </c>
    </row>
    <row r="232" spans="1:7" ht="15">
      <c r="A232" s="73" t="s">
        <v>1681</v>
      </c>
      <c r="B232" s="76">
        <v>2</v>
      </c>
      <c r="C232" s="87">
        <v>0.0014503087147952857</v>
      </c>
      <c r="D232" s="76" t="s">
        <v>389</v>
      </c>
      <c r="E232" s="76" t="b">
        <v>0</v>
      </c>
      <c r="F232" s="76" t="b">
        <v>0</v>
      </c>
      <c r="G232" s="76" t="b">
        <v>0</v>
      </c>
    </row>
    <row r="233" spans="1:7" ht="15">
      <c r="A233" s="73" t="s">
        <v>1682</v>
      </c>
      <c r="B233" s="76">
        <v>2</v>
      </c>
      <c r="C233" s="87">
        <v>0.001702322105891126</v>
      </c>
      <c r="D233" s="76" t="s">
        <v>389</v>
      </c>
      <c r="E233" s="76" t="b">
        <v>0</v>
      </c>
      <c r="F233" s="76" t="b">
        <v>0</v>
      </c>
      <c r="G233" s="76" t="b">
        <v>0</v>
      </c>
    </row>
    <row r="234" spans="1:7" ht="15">
      <c r="A234" s="73" t="s">
        <v>1683</v>
      </c>
      <c r="B234" s="76">
        <v>2</v>
      </c>
      <c r="C234" s="87">
        <v>0.001702322105891126</v>
      </c>
      <c r="D234" s="76" t="s">
        <v>389</v>
      </c>
      <c r="E234" s="76" t="b">
        <v>0</v>
      </c>
      <c r="F234" s="76" t="b">
        <v>0</v>
      </c>
      <c r="G234" s="76" t="b">
        <v>0</v>
      </c>
    </row>
    <row r="235" spans="1:7" ht="15">
      <c r="A235" s="73" t="s">
        <v>1684</v>
      </c>
      <c r="B235" s="76">
        <v>2</v>
      </c>
      <c r="C235" s="87">
        <v>0.0014503087147952857</v>
      </c>
      <c r="D235" s="76" t="s">
        <v>389</v>
      </c>
      <c r="E235" s="76" t="b">
        <v>0</v>
      </c>
      <c r="F235" s="76" t="b">
        <v>0</v>
      </c>
      <c r="G235" s="76" t="b">
        <v>0</v>
      </c>
    </row>
    <row r="236" spans="1:7" ht="15">
      <c r="A236" s="73" t="s">
        <v>1685</v>
      </c>
      <c r="B236" s="76">
        <v>2</v>
      </c>
      <c r="C236" s="87">
        <v>0.0014503087147952857</v>
      </c>
      <c r="D236" s="76" t="s">
        <v>389</v>
      </c>
      <c r="E236" s="76" t="b">
        <v>0</v>
      </c>
      <c r="F236" s="76" t="b">
        <v>0</v>
      </c>
      <c r="G236" s="76" t="b">
        <v>0</v>
      </c>
    </row>
    <row r="237" spans="1:7" ht="15">
      <c r="A237" s="73" t="s">
        <v>1686</v>
      </c>
      <c r="B237" s="76">
        <v>2</v>
      </c>
      <c r="C237" s="87">
        <v>0.0014503087147952857</v>
      </c>
      <c r="D237" s="76" t="s">
        <v>389</v>
      </c>
      <c r="E237" s="76" t="b">
        <v>0</v>
      </c>
      <c r="F237" s="76" t="b">
        <v>0</v>
      </c>
      <c r="G237" s="76" t="b">
        <v>0</v>
      </c>
    </row>
    <row r="238" spans="1:7" ht="15">
      <c r="A238" s="73" t="s">
        <v>1687</v>
      </c>
      <c r="B238" s="76">
        <v>2</v>
      </c>
      <c r="C238" s="87">
        <v>0.0014503087147952857</v>
      </c>
      <c r="D238" s="76" t="s">
        <v>389</v>
      </c>
      <c r="E238" s="76" t="b">
        <v>0</v>
      </c>
      <c r="F238" s="76" t="b">
        <v>0</v>
      </c>
      <c r="G238" s="76" t="b">
        <v>0</v>
      </c>
    </row>
    <row r="239" spans="1:7" ht="15">
      <c r="A239" s="73" t="s">
        <v>1688</v>
      </c>
      <c r="B239" s="76">
        <v>2</v>
      </c>
      <c r="C239" s="87">
        <v>0.0014503087147952857</v>
      </c>
      <c r="D239" s="76" t="s">
        <v>389</v>
      </c>
      <c r="E239" s="76" t="b">
        <v>0</v>
      </c>
      <c r="F239" s="76" t="b">
        <v>0</v>
      </c>
      <c r="G239" s="76" t="b">
        <v>0</v>
      </c>
    </row>
    <row r="240" spans="1:7" ht="15">
      <c r="A240" s="73" t="s">
        <v>1689</v>
      </c>
      <c r="B240" s="76">
        <v>2</v>
      </c>
      <c r="C240" s="87">
        <v>0.0014503087147952857</v>
      </c>
      <c r="D240" s="76" t="s">
        <v>389</v>
      </c>
      <c r="E240" s="76" t="b">
        <v>0</v>
      </c>
      <c r="F240" s="76" t="b">
        <v>0</v>
      </c>
      <c r="G240" s="76" t="b">
        <v>0</v>
      </c>
    </row>
    <row r="241" spans="1:7" ht="15">
      <c r="A241" s="73" t="s">
        <v>1690</v>
      </c>
      <c r="B241" s="76">
        <v>2</v>
      </c>
      <c r="C241" s="87">
        <v>0.0014503087147952857</v>
      </c>
      <c r="D241" s="76" t="s">
        <v>389</v>
      </c>
      <c r="E241" s="76" t="b">
        <v>0</v>
      </c>
      <c r="F241" s="76" t="b">
        <v>0</v>
      </c>
      <c r="G241" s="76" t="b">
        <v>0</v>
      </c>
    </row>
    <row r="242" spans="1:7" ht="15">
      <c r="A242" s="73" t="s">
        <v>1691</v>
      </c>
      <c r="B242" s="76">
        <v>2</v>
      </c>
      <c r="C242" s="87">
        <v>0.0014503087147952857</v>
      </c>
      <c r="D242" s="76" t="s">
        <v>389</v>
      </c>
      <c r="E242" s="76" t="b">
        <v>1</v>
      </c>
      <c r="F242" s="76" t="b">
        <v>0</v>
      </c>
      <c r="G242" s="76" t="b">
        <v>0</v>
      </c>
    </row>
    <row r="243" spans="1:7" ht="15">
      <c r="A243" s="73" t="s">
        <v>1692</v>
      </c>
      <c r="B243" s="76">
        <v>2</v>
      </c>
      <c r="C243" s="87">
        <v>0.0014503087147952857</v>
      </c>
      <c r="D243" s="76" t="s">
        <v>389</v>
      </c>
      <c r="E243" s="76" t="b">
        <v>0</v>
      </c>
      <c r="F243" s="76" t="b">
        <v>0</v>
      </c>
      <c r="G243" s="76" t="b">
        <v>0</v>
      </c>
    </row>
    <row r="244" spans="1:7" ht="15">
      <c r="A244" s="73" t="s">
        <v>638</v>
      </c>
      <c r="B244" s="76">
        <v>2</v>
      </c>
      <c r="C244" s="87">
        <v>0.0014503087147952857</v>
      </c>
      <c r="D244" s="76" t="s">
        <v>389</v>
      </c>
      <c r="E244" s="76" t="b">
        <v>0</v>
      </c>
      <c r="F244" s="76" t="b">
        <v>0</v>
      </c>
      <c r="G244" s="76" t="b">
        <v>0</v>
      </c>
    </row>
    <row r="245" spans="1:7" ht="15">
      <c r="A245" s="73" t="s">
        <v>1693</v>
      </c>
      <c r="B245" s="76">
        <v>2</v>
      </c>
      <c r="C245" s="87">
        <v>0.0014503087147952857</v>
      </c>
      <c r="D245" s="76" t="s">
        <v>389</v>
      </c>
      <c r="E245" s="76" t="b">
        <v>0</v>
      </c>
      <c r="F245" s="76" t="b">
        <v>0</v>
      </c>
      <c r="G245" s="76" t="b">
        <v>0</v>
      </c>
    </row>
    <row r="246" spans="1:7" ht="15">
      <c r="A246" s="73" t="s">
        <v>1694</v>
      </c>
      <c r="B246" s="76">
        <v>2</v>
      </c>
      <c r="C246" s="87">
        <v>0.0014503087147952857</v>
      </c>
      <c r="D246" s="76" t="s">
        <v>389</v>
      </c>
      <c r="E246" s="76" t="b">
        <v>0</v>
      </c>
      <c r="F246" s="76" t="b">
        <v>0</v>
      </c>
      <c r="G246" s="76" t="b">
        <v>0</v>
      </c>
    </row>
    <row r="247" spans="1:7" ht="15">
      <c r="A247" s="73" t="s">
        <v>1695</v>
      </c>
      <c r="B247" s="76">
        <v>2</v>
      </c>
      <c r="C247" s="87">
        <v>0.0014503087147952857</v>
      </c>
      <c r="D247" s="76" t="s">
        <v>389</v>
      </c>
      <c r="E247" s="76" t="b">
        <v>0</v>
      </c>
      <c r="F247" s="76" t="b">
        <v>0</v>
      </c>
      <c r="G247" s="76" t="b">
        <v>0</v>
      </c>
    </row>
    <row r="248" spans="1:7" ht="15">
      <c r="A248" s="73" t="s">
        <v>1696</v>
      </c>
      <c r="B248" s="76">
        <v>2</v>
      </c>
      <c r="C248" s="87">
        <v>0.0014503087147952857</v>
      </c>
      <c r="D248" s="76" t="s">
        <v>389</v>
      </c>
      <c r="E248" s="76" t="b">
        <v>0</v>
      </c>
      <c r="F248" s="76" t="b">
        <v>0</v>
      </c>
      <c r="G248" s="76" t="b">
        <v>0</v>
      </c>
    </row>
    <row r="249" spans="1:7" ht="15">
      <c r="A249" s="73" t="s">
        <v>1697</v>
      </c>
      <c r="B249" s="76">
        <v>2</v>
      </c>
      <c r="C249" s="87">
        <v>0.0014503087147952857</v>
      </c>
      <c r="D249" s="76" t="s">
        <v>389</v>
      </c>
      <c r="E249" s="76" t="b">
        <v>0</v>
      </c>
      <c r="F249" s="76" t="b">
        <v>0</v>
      </c>
      <c r="G249" s="76" t="b">
        <v>0</v>
      </c>
    </row>
    <row r="250" spans="1:7" ht="15">
      <c r="A250" s="73" t="s">
        <v>1698</v>
      </c>
      <c r="B250" s="76">
        <v>2</v>
      </c>
      <c r="C250" s="87">
        <v>0.0014503087147952857</v>
      </c>
      <c r="D250" s="76" t="s">
        <v>389</v>
      </c>
      <c r="E250" s="76" t="b">
        <v>1</v>
      </c>
      <c r="F250" s="76" t="b">
        <v>0</v>
      </c>
      <c r="G250" s="76" t="b">
        <v>0</v>
      </c>
    </row>
    <row r="251" spans="1:7" ht="15">
      <c r="A251" s="73" t="s">
        <v>1699</v>
      </c>
      <c r="B251" s="76">
        <v>2</v>
      </c>
      <c r="C251" s="87">
        <v>0.0014503087147952857</v>
      </c>
      <c r="D251" s="76" t="s">
        <v>389</v>
      </c>
      <c r="E251" s="76" t="b">
        <v>0</v>
      </c>
      <c r="F251" s="76" t="b">
        <v>0</v>
      </c>
      <c r="G251" s="76" t="b">
        <v>0</v>
      </c>
    </row>
    <row r="252" spans="1:7" ht="15">
      <c r="A252" s="73" t="s">
        <v>1700</v>
      </c>
      <c r="B252" s="76">
        <v>2</v>
      </c>
      <c r="C252" s="87">
        <v>0.0014503087147952857</v>
      </c>
      <c r="D252" s="76" t="s">
        <v>389</v>
      </c>
      <c r="E252" s="76" t="b">
        <v>0</v>
      </c>
      <c r="F252" s="76" t="b">
        <v>0</v>
      </c>
      <c r="G252" s="76" t="b">
        <v>0</v>
      </c>
    </row>
    <row r="253" spans="1:7" ht="15">
      <c r="A253" s="73" t="s">
        <v>1701</v>
      </c>
      <c r="B253" s="76">
        <v>2</v>
      </c>
      <c r="C253" s="87">
        <v>0.0014503087147952857</v>
      </c>
      <c r="D253" s="76" t="s">
        <v>389</v>
      </c>
      <c r="E253" s="76" t="b">
        <v>0</v>
      </c>
      <c r="F253" s="76" t="b">
        <v>0</v>
      </c>
      <c r="G253" s="76" t="b">
        <v>0</v>
      </c>
    </row>
    <row r="254" spans="1:7" ht="15">
      <c r="A254" s="73" t="s">
        <v>1702</v>
      </c>
      <c r="B254" s="76">
        <v>2</v>
      </c>
      <c r="C254" s="87">
        <v>0.0014503087147952857</v>
      </c>
      <c r="D254" s="76" t="s">
        <v>389</v>
      </c>
      <c r="E254" s="76" t="b">
        <v>0</v>
      </c>
      <c r="F254" s="76" t="b">
        <v>0</v>
      </c>
      <c r="G254" s="76" t="b">
        <v>0</v>
      </c>
    </row>
    <row r="255" spans="1:7" ht="15">
      <c r="A255" s="73" t="s">
        <v>1703</v>
      </c>
      <c r="B255" s="76">
        <v>2</v>
      </c>
      <c r="C255" s="87">
        <v>0.0014503087147952857</v>
      </c>
      <c r="D255" s="76" t="s">
        <v>389</v>
      </c>
      <c r="E255" s="76" t="b">
        <v>0</v>
      </c>
      <c r="F255" s="76" t="b">
        <v>0</v>
      </c>
      <c r="G255" s="76" t="b">
        <v>0</v>
      </c>
    </row>
    <row r="256" spans="1:7" ht="15">
      <c r="A256" s="73" t="s">
        <v>1704</v>
      </c>
      <c r="B256" s="76">
        <v>2</v>
      </c>
      <c r="C256" s="87">
        <v>0.0014503087147952857</v>
      </c>
      <c r="D256" s="76" t="s">
        <v>389</v>
      </c>
      <c r="E256" s="76" t="b">
        <v>1</v>
      </c>
      <c r="F256" s="76" t="b">
        <v>0</v>
      </c>
      <c r="G256" s="76" t="b">
        <v>0</v>
      </c>
    </row>
    <row r="257" spans="1:7" ht="15">
      <c r="A257" s="73" t="s">
        <v>1705</v>
      </c>
      <c r="B257" s="76">
        <v>2</v>
      </c>
      <c r="C257" s="87">
        <v>0.0014503087147952857</v>
      </c>
      <c r="D257" s="76" t="s">
        <v>389</v>
      </c>
      <c r="E257" s="76" t="b">
        <v>0</v>
      </c>
      <c r="F257" s="76" t="b">
        <v>0</v>
      </c>
      <c r="G257" s="76" t="b">
        <v>0</v>
      </c>
    </row>
    <row r="258" spans="1:7" ht="15">
      <c r="A258" s="73" t="s">
        <v>1706</v>
      </c>
      <c r="B258" s="76">
        <v>2</v>
      </c>
      <c r="C258" s="87">
        <v>0.0014503087147952857</v>
      </c>
      <c r="D258" s="76" t="s">
        <v>389</v>
      </c>
      <c r="E258" s="76" t="b">
        <v>0</v>
      </c>
      <c r="F258" s="76" t="b">
        <v>0</v>
      </c>
      <c r="G258" s="76" t="b">
        <v>0</v>
      </c>
    </row>
    <row r="259" spans="1:7" ht="15">
      <c r="A259" s="73" t="s">
        <v>1707</v>
      </c>
      <c r="B259" s="76">
        <v>2</v>
      </c>
      <c r="C259" s="87">
        <v>0.0014503087147952857</v>
      </c>
      <c r="D259" s="76" t="s">
        <v>389</v>
      </c>
      <c r="E259" s="76" t="b">
        <v>0</v>
      </c>
      <c r="F259" s="76" t="b">
        <v>0</v>
      </c>
      <c r="G259" s="76" t="b">
        <v>0</v>
      </c>
    </row>
    <row r="260" spans="1:7" ht="15">
      <c r="A260" s="73" t="s">
        <v>363</v>
      </c>
      <c r="B260" s="76">
        <v>41</v>
      </c>
      <c r="C260" s="87">
        <v>0</v>
      </c>
      <c r="D260" s="76" t="s">
        <v>340</v>
      </c>
      <c r="E260" s="76" t="b">
        <v>0</v>
      </c>
      <c r="F260" s="76" t="b">
        <v>0</v>
      </c>
      <c r="G260" s="76" t="b">
        <v>0</v>
      </c>
    </row>
    <row r="261" spans="1:7" ht="15">
      <c r="A261" s="73" t="s">
        <v>1492</v>
      </c>
      <c r="B261" s="76">
        <v>40</v>
      </c>
      <c r="C261" s="87">
        <v>0.0009131151079760102</v>
      </c>
      <c r="D261" s="76" t="s">
        <v>340</v>
      </c>
      <c r="E261" s="76" t="b">
        <v>0</v>
      </c>
      <c r="F261" s="76" t="b">
        <v>0</v>
      </c>
      <c r="G261" s="76" t="b">
        <v>0</v>
      </c>
    </row>
    <row r="262" spans="1:7" ht="15">
      <c r="A262" s="73" t="s">
        <v>360</v>
      </c>
      <c r="B262" s="76">
        <v>27</v>
      </c>
      <c r="C262" s="87">
        <v>0</v>
      </c>
      <c r="D262" s="76" t="s">
        <v>340</v>
      </c>
      <c r="E262" s="76" t="b">
        <v>0</v>
      </c>
      <c r="F262" s="76" t="b">
        <v>0</v>
      </c>
      <c r="G262" s="76" t="b">
        <v>0</v>
      </c>
    </row>
    <row r="263" spans="1:7" ht="15">
      <c r="A263" s="73" t="s">
        <v>362</v>
      </c>
      <c r="B263" s="76">
        <v>27</v>
      </c>
      <c r="C263" s="87">
        <v>0</v>
      </c>
      <c r="D263" s="76" t="s">
        <v>340</v>
      </c>
      <c r="E263" s="76" t="b">
        <v>0</v>
      </c>
      <c r="F263" s="76" t="b">
        <v>0</v>
      </c>
      <c r="G263" s="76" t="b">
        <v>0</v>
      </c>
    </row>
    <row r="264" spans="1:7" ht="15">
      <c r="A264" s="73" t="s">
        <v>720</v>
      </c>
      <c r="B264" s="76">
        <v>26</v>
      </c>
      <c r="C264" s="87">
        <v>0.0005935248201844067</v>
      </c>
      <c r="D264" s="76" t="s">
        <v>340</v>
      </c>
      <c r="E264" s="76" t="b">
        <v>0</v>
      </c>
      <c r="F264" s="76" t="b">
        <v>0</v>
      </c>
      <c r="G264" s="76" t="b">
        <v>0</v>
      </c>
    </row>
    <row r="265" spans="1:7" ht="15">
      <c r="A265" s="73" t="s">
        <v>1493</v>
      </c>
      <c r="B265" s="76">
        <v>26</v>
      </c>
      <c r="C265" s="87">
        <v>0.0005935248201844067</v>
      </c>
      <c r="D265" s="76" t="s">
        <v>340</v>
      </c>
      <c r="E265" s="76" t="b">
        <v>0</v>
      </c>
      <c r="F265" s="76" t="b">
        <v>0</v>
      </c>
      <c r="G265" s="76" t="b">
        <v>0</v>
      </c>
    </row>
    <row r="266" spans="1:7" ht="15">
      <c r="A266" s="73" t="s">
        <v>1491</v>
      </c>
      <c r="B266" s="76">
        <v>24</v>
      </c>
      <c r="C266" s="87">
        <v>0.011772117597037186</v>
      </c>
      <c r="D266" s="76" t="s">
        <v>340</v>
      </c>
      <c r="E266" s="76" t="b">
        <v>0</v>
      </c>
      <c r="F266" s="76" t="b">
        <v>0</v>
      </c>
      <c r="G266" s="76" t="b">
        <v>0</v>
      </c>
    </row>
    <row r="267" spans="1:7" ht="15">
      <c r="A267" s="73" t="s">
        <v>1496</v>
      </c>
      <c r="B267" s="76">
        <v>24</v>
      </c>
      <c r="C267" s="87">
        <v>0.011772117597037186</v>
      </c>
      <c r="D267" s="76" t="s">
        <v>340</v>
      </c>
      <c r="E267" s="76" t="b">
        <v>0</v>
      </c>
      <c r="F267" s="76" t="b">
        <v>0</v>
      </c>
      <c r="G267" s="76" t="b">
        <v>0</v>
      </c>
    </row>
    <row r="268" spans="1:7" ht="15">
      <c r="A268" s="73" t="s">
        <v>373</v>
      </c>
      <c r="B268" s="76">
        <v>15</v>
      </c>
      <c r="C268" s="87">
        <v>0.0053329910536902385</v>
      </c>
      <c r="D268" s="76" t="s">
        <v>340</v>
      </c>
      <c r="E268" s="76" t="b">
        <v>0</v>
      </c>
      <c r="F268" s="76" t="b">
        <v>0</v>
      </c>
      <c r="G268" s="76" t="b">
        <v>0</v>
      </c>
    </row>
    <row r="269" spans="1:7" ht="15">
      <c r="A269" s="73" t="s">
        <v>1502</v>
      </c>
      <c r="B269" s="76">
        <v>14</v>
      </c>
      <c r="C269" s="87">
        <v>0.0055616994411288164</v>
      </c>
      <c r="D269" s="76" t="s">
        <v>340</v>
      </c>
      <c r="E269" s="76" t="b">
        <v>1</v>
      </c>
      <c r="F269" s="76" t="b">
        <v>0</v>
      </c>
      <c r="G269" s="76" t="b">
        <v>0</v>
      </c>
    </row>
    <row r="270" spans="1:7" ht="15">
      <c r="A270" s="73" t="s">
        <v>1513</v>
      </c>
      <c r="B270" s="76">
        <v>14</v>
      </c>
      <c r="C270" s="87">
        <v>0.0055616994411288164</v>
      </c>
      <c r="D270" s="76" t="s">
        <v>340</v>
      </c>
      <c r="E270" s="76" t="b">
        <v>0</v>
      </c>
      <c r="F270" s="76" t="b">
        <v>0</v>
      </c>
      <c r="G270" s="76" t="b">
        <v>0</v>
      </c>
    </row>
    <row r="271" spans="1:7" ht="15">
      <c r="A271" s="73" t="s">
        <v>1508</v>
      </c>
      <c r="B271" s="76">
        <v>14</v>
      </c>
      <c r="C271" s="87">
        <v>0.0055616994411288164</v>
      </c>
      <c r="D271" s="76" t="s">
        <v>340</v>
      </c>
      <c r="E271" s="76" t="b">
        <v>0</v>
      </c>
      <c r="F271" s="76" t="b">
        <v>0</v>
      </c>
      <c r="G271" s="76" t="b">
        <v>0</v>
      </c>
    </row>
    <row r="272" spans="1:7" ht="15">
      <c r="A272" s="73" t="s">
        <v>1514</v>
      </c>
      <c r="B272" s="76">
        <v>14</v>
      </c>
      <c r="C272" s="87">
        <v>0.0055616994411288164</v>
      </c>
      <c r="D272" s="76" t="s">
        <v>340</v>
      </c>
      <c r="E272" s="76" t="b">
        <v>0</v>
      </c>
      <c r="F272" s="76" t="b">
        <v>0</v>
      </c>
      <c r="G272" s="76" t="b">
        <v>0</v>
      </c>
    </row>
    <row r="273" spans="1:7" ht="15">
      <c r="A273" s="73" t="s">
        <v>1515</v>
      </c>
      <c r="B273" s="76">
        <v>14</v>
      </c>
      <c r="C273" s="87">
        <v>0.0055616994411288164</v>
      </c>
      <c r="D273" s="76" t="s">
        <v>340</v>
      </c>
      <c r="E273" s="76" t="b">
        <v>0</v>
      </c>
      <c r="F273" s="76" t="b">
        <v>0</v>
      </c>
      <c r="G273" s="76" t="b">
        <v>0</v>
      </c>
    </row>
    <row r="274" spans="1:7" ht="15">
      <c r="A274" s="73" t="s">
        <v>1516</v>
      </c>
      <c r="B274" s="76">
        <v>14</v>
      </c>
      <c r="C274" s="87">
        <v>0.0055616994411288164</v>
      </c>
      <c r="D274" s="76" t="s">
        <v>340</v>
      </c>
      <c r="E274" s="76" t="b">
        <v>0</v>
      </c>
      <c r="F274" s="76" t="b">
        <v>0</v>
      </c>
      <c r="G274" s="76" t="b">
        <v>0</v>
      </c>
    </row>
    <row r="275" spans="1:7" ht="15">
      <c r="A275" s="73" t="s">
        <v>1501</v>
      </c>
      <c r="B275" s="76">
        <v>14</v>
      </c>
      <c r="C275" s="87">
        <v>0.0055616994411288164</v>
      </c>
      <c r="D275" s="76" t="s">
        <v>340</v>
      </c>
      <c r="E275" s="76" t="b">
        <v>0</v>
      </c>
      <c r="F275" s="76" t="b">
        <v>0</v>
      </c>
      <c r="G275" s="76" t="b">
        <v>0</v>
      </c>
    </row>
    <row r="276" spans="1:7" ht="15">
      <c r="A276" s="73" t="s">
        <v>1517</v>
      </c>
      <c r="B276" s="76">
        <v>14</v>
      </c>
      <c r="C276" s="87">
        <v>0.0055616994411288164</v>
      </c>
      <c r="D276" s="76" t="s">
        <v>340</v>
      </c>
      <c r="E276" s="76" t="b">
        <v>0</v>
      </c>
      <c r="F276" s="76" t="b">
        <v>0</v>
      </c>
      <c r="G276" s="76" t="b">
        <v>0</v>
      </c>
    </row>
    <row r="277" spans="1:7" ht="15">
      <c r="A277" s="73" t="s">
        <v>1518</v>
      </c>
      <c r="B277" s="76">
        <v>14</v>
      </c>
      <c r="C277" s="87">
        <v>0.0055616994411288164</v>
      </c>
      <c r="D277" s="76" t="s">
        <v>340</v>
      </c>
      <c r="E277" s="76" t="b">
        <v>1</v>
      </c>
      <c r="F277" s="76" t="b">
        <v>0</v>
      </c>
      <c r="G277" s="76" t="b">
        <v>0</v>
      </c>
    </row>
    <row r="278" spans="1:7" ht="15">
      <c r="A278" s="73" t="s">
        <v>1519</v>
      </c>
      <c r="B278" s="76">
        <v>14</v>
      </c>
      <c r="C278" s="87">
        <v>0.0055616994411288164</v>
      </c>
      <c r="D278" s="76" t="s">
        <v>340</v>
      </c>
      <c r="E278" s="76" t="b">
        <v>0</v>
      </c>
      <c r="F278" s="76" t="b">
        <v>0</v>
      </c>
      <c r="G278" s="76" t="b">
        <v>0</v>
      </c>
    </row>
    <row r="279" spans="1:7" ht="15">
      <c r="A279" s="73" t="s">
        <v>1520</v>
      </c>
      <c r="B279" s="76">
        <v>14</v>
      </c>
      <c r="C279" s="87">
        <v>0.0055616994411288164</v>
      </c>
      <c r="D279" s="76" t="s">
        <v>340</v>
      </c>
      <c r="E279" s="76" t="b">
        <v>0</v>
      </c>
      <c r="F279" s="76" t="b">
        <v>0</v>
      </c>
      <c r="G279" s="76" t="b">
        <v>0</v>
      </c>
    </row>
    <row r="280" spans="1:7" ht="15">
      <c r="A280" s="73" t="s">
        <v>1509</v>
      </c>
      <c r="B280" s="76">
        <v>14</v>
      </c>
      <c r="C280" s="87">
        <v>0.0055616994411288164</v>
      </c>
      <c r="D280" s="76" t="s">
        <v>340</v>
      </c>
      <c r="E280" s="76" t="b">
        <v>0</v>
      </c>
      <c r="F280" s="76" t="b">
        <v>0</v>
      </c>
      <c r="G280" s="76" t="b">
        <v>0</v>
      </c>
    </row>
    <row r="281" spans="1:7" ht="15">
      <c r="A281" s="73" t="s">
        <v>1521</v>
      </c>
      <c r="B281" s="76">
        <v>14</v>
      </c>
      <c r="C281" s="87">
        <v>0.0055616994411288164</v>
      </c>
      <c r="D281" s="76" t="s">
        <v>340</v>
      </c>
      <c r="E281" s="76" t="b">
        <v>0</v>
      </c>
      <c r="F281" s="76" t="b">
        <v>0</v>
      </c>
      <c r="G281" s="76" t="b">
        <v>0</v>
      </c>
    </row>
    <row r="282" spans="1:7" ht="15">
      <c r="A282" s="73" t="s">
        <v>1522</v>
      </c>
      <c r="B282" s="76">
        <v>14</v>
      </c>
      <c r="C282" s="87">
        <v>0.0055616994411288164</v>
      </c>
      <c r="D282" s="76" t="s">
        <v>340</v>
      </c>
      <c r="E282" s="76" t="b">
        <v>0</v>
      </c>
      <c r="F282" s="76" t="b">
        <v>0</v>
      </c>
      <c r="G282" s="76" t="b">
        <v>0</v>
      </c>
    </row>
    <row r="283" spans="1:7" ht="15">
      <c r="A283" s="73" t="s">
        <v>1523</v>
      </c>
      <c r="B283" s="76">
        <v>14</v>
      </c>
      <c r="C283" s="87">
        <v>0.0055616994411288164</v>
      </c>
      <c r="D283" s="76" t="s">
        <v>340</v>
      </c>
      <c r="E283" s="76" t="b">
        <v>0</v>
      </c>
      <c r="F283" s="76" t="b">
        <v>0</v>
      </c>
      <c r="G283" s="76" t="b">
        <v>0</v>
      </c>
    </row>
    <row r="284" spans="1:7" ht="15">
      <c r="A284" s="73" t="s">
        <v>1505</v>
      </c>
      <c r="B284" s="76">
        <v>14</v>
      </c>
      <c r="C284" s="87">
        <v>0.0055616994411288164</v>
      </c>
      <c r="D284" s="76" t="s">
        <v>340</v>
      </c>
      <c r="E284" s="76" t="b">
        <v>0</v>
      </c>
      <c r="F284" s="76" t="b">
        <v>0</v>
      </c>
      <c r="G284" s="76" t="b">
        <v>0</v>
      </c>
    </row>
    <row r="285" spans="1:7" ht="15">
      <c r="A285" s="73" t="s">
        <v>1524</v>
      </c>
      <c r="B285" s="76">
        <v>14</v>
      </c>
      <c r="C285" s="87">
        <v>0.0055616994411288164</v>
      </c>
      <c r="D285" s="76" t="s">
        <v>340</v>
      </c>
      <c r="E285" s="76" t="b">
        <v>0</v>
      </c>
      <c r="F285" s="76" t="b">
        <v>0</v>
      </c>
      <c r="G285" s="76" t="b">
        <v>0</v>
      </c>
    </row>
    <row r="286" spans="1:7" ht="15">
      <c r="A286" s="73" t="s">
        <v>1504</v>
      </c>
      <c r="B286" s="76">
        <v>12</v>
      </c>
      <c r="C286" s="87">
        <v>0.005886058798518593</v>
      </c>
      <c r="D286" s="76" t="s">
        <v>340</v>
      </c>
      <c r="E286" s="76" t="b">
        <v>0</v>
      </c>
      <c r="F286" s="76" t="b">
        <v>0</v>
      </c>
      <c r="G286" s="76" t="b">
        <v>0</v>
      </c>
    </row>
    <row r="287" spans="1:7" ht="15">
      <c r="A287" s="73" t="s">
        <v>1538</v>
      </c>
      <c r="B287" s="76">
        <v>12</v>
      </c>
      <c r="C287" s="87">
        <v>0.005886058798518593</v>
      </c>
      <c r="D287" s="76" t="s">
        <v>340</v>
      </c>
      <c r="E287" s="76" t="b">
        <v>0</v>
      </c>
      <c r="F287" s="76" t="b">
        <v>0</v>
      </c>
      <c r="G287" s="76" t="b">
        <v>0</v>
      </c>
    </row>
    <row r="288" spans="1:7" ht="15">
      <c r="A288" s="73" t="s">
        <v>1539</v>
      </c>
      <c r="B288" s="76">
        <v>12</v>
      </c>
      <c r="C288" s="87">
        <v>0.005886058798518593</v>
      </c>
      <c r="D288" s="76" t="s">
        <v>340</v>
      </c>
      <c r="E288" s="76" t="b">
        <v>0</v>
      </c>
      <c r="F288" s="76" t="b">
        <v>0</v>
      </c>
      <c r="G288" s="76" t="b">
        <v>0</v>
      </c>
    </row>
    <row r="289" spans="1:7" ht="15">
      <c r="A289" s="73" t="s">
        <v>1540</v>
      </c>
      <c r="B289" s="76">
        <v>12</v>
      </c>
      <c r="C289" s="87">
        <v>0.005886058798518593</v>
      </c>
      <c r="D289" s="76" t="s">
        <v>340</v>
      </c>
      <c r="E289" s="76" t="b">
        <v>0</v>
      </c>
      <c r="F289" s="76" t="b">
        <v>0</v>
      </c>
      <c r="G289" s="76" t="b">
        <v>0</v>
      </c>
    </row>
    <row r="290" spans="1:7" ht="15">
      <c r="A290" s="73" t="s">
        <v>1541</v>
      </c>
      <c r="B290" s="76">
        <v>12</v>
      </c>
      <c r="C290" s="87">
        <v>0.005886058798518593</v>
      </c>
      <c r="D290" s="76" t="s">
        <v>340</v>
      </c>
      <c r="E290" s="76" t="b">
        <v>0</v>
      </c>
      <c r="F290" s="76" t="b">
        <v>0</v>
      </c>
      <c r="G290" s="76" t="b">
        <v>0</v>
      </c>
    </row>
    <row r="291" spans="1:7" ht="15">
      <c r="A291" s="73" t="s">
        <v>1542</v>
      </c>
      <c r="B291" s="76">
        <v>12</v>
      </c>
      <c r="C291" s="87">
        <v>0.005886058798518593</v>
      </c>
      <c r="D291" s="76" t="s">
        <v>340</v>
      </c>
      <c r="E291" s="76" t="b">
        <v>0</v>
      </c>
      <c r="F291" s="76" t="b">
        <v>0</v>
      </c>
      <c r="G291" s="76" t="b">
        <v>0</v>
      </c>
    </row>
    <row r="292" spans="1:7" ht="15">
      <c r="A292" s="73" t="s">
        <v>1543</v>
      </c>
      <c r="B292" s="76">
        <v>12</v>
      </c>
      <c r="C292" s="87">
        <v>0.005886058798518593</v>
      </c>
      <c r="D292" s="76" t="s">
        <v>340</v>
      </c>
      <c r="E292" s="76" t="b">
        <v>0</v>
      </c>
      <c r="F292" s="76" t="b">
        <v>0</v>
      </c>
      <c r="G292" s="76" t="b">
        <v>0</v>
      </c>
    </row>
    <row r="293" spans="1:7" ht="15">
      <c r="A293" s="73" t="s">
        <v>1511</v>
      </c>
      <c r="B293" s="76">
        <v>12</v>
      </c>
      <c r="C293" s="87">
        <v>0.005886058798518593</v>
      </c>
      <c r="D293" s="76" t="s">
        <v>340</v>
      </c>
      <c r="E293" s="76" t="b">
        <v>0</v>
      </c>
      <c r="F293" s="76" t="b">
        <v>0</v>
      </c>
      <c r="G293" s="76" t="b">
        <v>0</v>
      </c>
    </row>
    <row r="294" spans="1:7" ht="15">
      <c r="A294" s="73" t="s">
        <v>1497</v>
      </c>
      <c r="B294" s="76">
        <v>12</v>
      </c>
      <c r="C294" s="87">
        <v>0.005886058798518593</v>
      </c>
      <c r="D294" s="76" t="s">
        <v>340</v>
      </c>
      <c r="E294" s="76" t="b">
        <v>0</v>
      </c>
      <c r="F294" s="76" t="b">
        <v>0</v>
      </c>
      <c r="G294" s="76" t="b">
        <v>0</v>
      </c>
    </row>
    <row r="295" spans="1:7" ht="15">
      <c r="A295" s="73" t="s">
        <v>1512</v>
      </c>
      <c r="B295" s="76">
        <v>12</v>
      </c>
      <c r="C295" s="87">
        <v>0.005886058798518593</v>
      </c>
      <c r="D295" s="76" t="s">
        <v>340</v>
      </c>
      <c r="E295" s="76" t="b">
        <v>0</v>
      </c>
      <c r="F295" s="76" t="b">
        <v>0</v>
      </c>
      <c r="G295" s="76" t="b">
        <v>0</v>
      </c>
    </row>
    <row r="296" spans="1:7" ht="15">
      <c r="A296" s="73" t="s">
        <v>1544</v>
      </c>
      <c r="B296" s="76">
        <v>12</v>
      </c>
      <c r="C296" s="87">
        <v>0.005886058798518593</v>
      </c>
      <c r="D296" s="76" t="s">
        <v>340</v>
      </c>
      <c r="E296" s="76" t="b">
        <v>0</v>
      </c>
      <c r="F296" s="76" t="b">
        <v>0</v>
      </c>
      <c r="G296" s="76" t="b">
        <v>0</v>
      </c>
    </row>
    <row r="297" spans="1:7" ht="15">
      <c r="A297" s="73" t="s">
        <v>1545</v>
      </c>
      <c r="B297" s="76">
        <v>12</v>
      </c>
      <c r="C297" s="87">
        <v>0.005886058798518593</v>
      </c>
      <c r="D297" s="76" t="s">
        <v>340</v>
      </c>
      <c r="E297" s="76" t="b">
        <v>0</v>
      </c>
      <c r="F297" s="76" t="b">
        <v>0</v>
      </c>
      <c r="G297" s="76" t="b">
        <v>0</v>
      </c>
    </row>
    <row r="298" spans="1:7" ht="15">
      <c r="A298" s="73" t="s">
        <v>1546</v>
      </c>
      <c r="B298" s="76">
        <v>12</v>
      </c>
      <c r="C298" s="87">
        <v>0.005886058798518593</v>
      </c>
      <c r="D298" s="76" t="s">
        <v>340</v>
      </c>
      <c r="E298" s="76" t="b">
        <v>1</v>
      </c>
      <c r="F298" s="76" t="b">
        <v>0</v>
      </c>
      <c r="G298" s="76" t="b">
        <v>0</v>
      </c>
    </row>
    <row r="299" spans="1:7" ht="15">
      <c r="A299" s="73" t="s">
        <v>1499</v>
      </c>
      <c r="B299" s="76">
        <v>12</v>
      </c>
      <c r="C299" s="87">
        <v>0.005886058798518593</v>
      </c>
      <c r="D299" s="76" t="s">
        <v>340</v>
      </c>
      <c r="E299" s="76" t="b">
        <v>0</v>
      </c>
      <c r="F299" s="76" t="b">
        <v>0</v>
      </c>
      <c r="G299" s="76" t="b">
        <v>0</v>
      </c>
    </row>
    <row r="300" spans="1:7" ht="15">
      <c r="A300" s="73" t="s">
        <v>1547</v>
      </c>
      <c r="B300" s="76">
        <v>12</v>
      </c>
      <c r="C300" s="87">
        <v>0.005886058798518593</v>
      </c>
      <c r="D300" s="76" t="s">
        <v>340</v>
      </c>
      <c r="E300" s="76" t="b">
        <v>0</v>
      </c>
      <c r="F300" s="76" t="b">
        <v>0</v>
      </c>
      <c r="G300" s="76" t="b">
        <v>0</v>
      </c>
    </row>
    <row r="301" spans="1:7" ht="15">
      <c r="A301" s="73" t="s">
        <v>1548</v>
      </c>
      <c r="B301" s="76">
        <v>12</v>
      </c>
      <c r="C301" s="87">
        <v>0.005886058798518593</v>
      </c>
      <c r="D301" s="76" t="s">
        <v>340</v>
      </c>
      <c r="E301" s="76" t="b">
        <v>0</v>
      </c>
      <c r="F301" s="76" t="b">
        <v>0</v>
      </c>
      <c r="G301" s="76" t="b">
        <v>0</v>
      </c>
    </row>
    <row r="302" spans="1:7" ht="15">
      <c r="A302" s="73" t="s">
        <v>1549</v>
      </c>
      <c r="B302" s="76">
        <v>12</v>
      </c>
      <c r="C302" s="87">
        <v>0.005886058798518593</v>
      </c>
      <c r="D302" s="76" t="s">
        <v>340</v>
      </c>
      <c r="E302" s="76" t="b">
        <v>0</v>
      </c>
      <c r="F302" s="76" t="b">
        <v>0</v>
      </c>
      <c r="G302" s="76" t="b">
        <v>0</v>
      </c>
    </row>
    <row r="303" spans="1:7" ht="15">
      <c r="A303" s="73" t="s">
        <v>1500</v>
      </c>
      <c r="B303" s="76">
        <v>12</v>
      </c>
      <c r="C303" s="87">
        <v>0.005886058798518593</v>
      </c>
      <c r="D303" s="76" t="s">
        <v>340</v>
      </c>
      <c r="E303" s="76" t="b">
        <v>0</v>
      </c>
      <c r="F303" s="76" t="b">
        <v>0</v>
      </c>
      <c r="G303" s="76" t="b">
        <v>0</v>
      </c>
    </row>
    <row r="304" spans="1:7" ht="15">
      <c r="A304" s="73" t="s">
        <v>363</v>
      </c>
      <c r="B304" s="76">
        <v>21</v>
      </c>
      <c r="C304" s="87">
        <v>0.002349406605804836</v>
      </c>
      <c r="D304" s="76" t="s">
        <v>341</v>
      </c>
      <c r="E304" s="76" t="b">
        <v>0</v>
      </c>
      <c r="F304" s="76" t="b">
        <v>0</v>
      </c>
      <c r="G304" s="76" t="b">
        <v>0</v>
      </c>
    </row>
    <row r="305" spans="1:7" ht="15">
      <c r="A305" s="73" t="s">
        <v>360</v>
      </c>
      <c r="B305" s="76">
        <v>18</v>
      </c>
      <c r="C305" s="87">
        <v>0.0031062575480262375</v>
      </c>
      <c r="D305" s="76" t="s">
        <v>341</v>
      </c>
      <c r="E305" s="76" t="b">
        <v>0</v>
      </c>
      <c r="F305" s="76" t="b">
        <v>0</v>
      </c>
      <c r="G305" s="76" t="b">
        <v>0</v>
      </c>
    </row>
    <row r="306" spans="1:7" ht="15">
      <c r="A306" s="73" t="s">
        <v>362</v>
      </c>
      <c r="B306" s="76">
        <v>17</v>
      </c>
      <c r="C306" s="87">
        <v>0.002933687684247002</v>
      </c>
      <c r="D306" s="76" t="s">
        <v>341</v>
      </c>
      <c r="E306" s="76" t="b">
        <v>0</v>
      </c>
      <c r="F306" s="76" t="b">
        <v>0</v>
      </c>
      <c r="G306" s="76" t="b">
        <v>0</v>
      </c>
    </row>
    <row r="307" spans="1:7" ht="15">
      <c r="A307" s="73" t="s">
        <v>379</v>
      </c>
      <c r="B307" s="76">
        <v>10</v>
      </c>
      <c r="C307" s="87">
        <v>0.009729584564108499</v>
      </c>
      <c r="D307" s="76" t="s">
        <v>341</v>
      </c>
      <c r="E307" s="76" t="b">
        <v>0</v>
      </c>
      <c r="F307" s="76" t="b">
        <v>0</v>
      </c>
      <c r="G307" s="76" t="b">
        <v>0</v>
      </c>
    </row>
    <row r="308" spans="1:7" ht="15">
      <c r="A308" s="73" t="s">
        <v>1503</v>
      </c>
      <c r="B308" s="76">
        <v>7</v>
      </c>
      <c r="C308" s="87">
        <v>0.008949024980348077</v>
      </c>
      <c r="D308" s="76" t="s">
        <v>341</v>
      </c>
      <c r="E308" s="76" t="b">
        <v>0</v>
      </c>
      <c r="F308" s="76" t="b">
        <v>0</v>
      </c>
      <c r="G308" s="76" t="b">
        <v>0</v>
      </c>
    </row>
    <row r="309" spans="1:7" ht="15">
      <c r="A309" s="73" t="s">
        <v>1581</v>
      </c>
      <c r="B309" s="76">
        <v>5</v>
      </c>
      <c r="C309" s="87">
        <v>0.010072233996874314</v>
      </c>
      <c r="D309" s="76" t="s">
        <v>341</v>
      </c>
      <c r="E309" s="76" t="b">
        <v>0</v>
      </c>
      <c r="F309" s="76" t="b">
        <v>0</v>
      </c>
      <c r="G309" s="76" t="b">
        <v>0</v>
      </c>
    </row>
    <row r="310" spans="1:7" ht="15">
      <c r="A310" s="73" t="s">
        <v>382</v>
      </c>
      <c r="B310" s="76">
        <v>4</v>
      </c>
      <c r="C310" s="87">
        <v>0.00805778719749945</v>
      </c>
      <c r="D310" s="76" t="s">
        <v>341</v>
      </c>
      <c r="E310" s="76" t="b">
        <v>1</v>
      </c>
      <c r="F310" s="76" t="b">
        <v>0</v>
      </c>
      <c r="G310" s="76" t="b">
        <v>0</v>
      </c>
    </row>
    <row r="311" spans="1:7" ht="15">
      <c r="A311" s="73" t="s">
        <v>1587</v>
      </c>
      <c r="B311" s="76">
        <v>4</v>
      </c>
      <c r="C311" s="87">
        <v>0.006835892462943949</v>
      </c>
      <c r="D311" s="76" t="s">
        <v>341</v>
      </c>
      <c r="E311" s="76" t="b">
        <v>0</v>
      </c>
      <c r="F311" s="76" t="b">
        <v>0</v>
      </c>
      <c r="G311" s="76" t="b">
        <v>0</v>
      </c>
    </row>
    <row r="312" spans="1:7" ht="15">
      <c r="A312" s="73" t="s">
        <v>1491</v>
      </c>
      <c r="B312" s="76">
        <v>4</v>
      </c>
      <c r="C312" s="87">
        <v>0.006835892462943949</v>
      </c>
      <c r="D312" s="76" t="s">
        <v>341</v>
      </c>
      <c r="E312" s="76" t="b">
        <v>0</v>
      </c>
      <c r="F312" s="76" t="b">
        <v>0</v>
      </c>
      <c r="G312" s="76" t="b">
        <v>0</v>
      </c>
    </row>
    <row r="313" spans="1:7" ht="15">
      <c r="A313" s="73" t="s">
        <v>361</v>
      </c>
      <c r="B313" s="76">
        <v>3</v>
      </c>
      <c r="C313" s="87">
        <v>0.0060433403981245875</v>
      </c>
      <c r="D313" s="76" t="s">
        <v>341</v>
      </c>
      <c r="E313" s="76" t="b">
        <v>0</v>
      </c>
      <c r="F313" s="76" t="b">
        <v>0</v>
      </c>
      <c r="G313" s="76" t="b">
        <v>0</v>
      </c>
    </row>
    <row r="314" spans="1:7" ht="15">
      <c r="A314" s="73" t="s">
        <v>377</v>
      </c>
      <c r="B314" s="76">
        <v>3</v>
      </c>
      <c r="C314" s="87">
        <v>0.0060433403981245875</v>
      </c>
      <c r="D314" s="76" t="s">
        <v>341</v>
      </c>
      <c r="E314" s="76" t="b">
        <v>0</v>
      </c>
      <c r="F314" s="76" t="b">
        <v>0</v>
      </c>
      <c r="G314" s="76" t="b">
        <v>0</v>
      </c>
    </row>
    <row r="315" spans="1:7" ht="15">
      <c r="A315" s="73" t="s">
        <v>1628</v>
      </c>
      <c r="B315" s="76">
        <v>3</v>
      </c>
      <c r="C315" s="87">
        <v>0.0060433403981245875</v>
      </c>
      <c r="D315" s="76" t="s">
        <v>341</v>
      </c>
      <c r="E315" s="76" t="b">
        <v>0</v>
      </c>
      <c r="F315" s="76" t="b">
        <v>0</v>
      </c>
      <c r="G315" s="76" t="b">
        <v>0</v>
      </c>
    </row>
    <row r="316" spans="1:7" ht="15">
      <c r="A316" s="73" t="s">
        <v>1580</v>
      </c>
      <c r="B316" s="76">
        <v>3</v>
      </c>
      <c r="C316" s="87">
        <v>0.0060433403981245875</v>
      </c>
      <c r="D316" s="76" t="s">
        <v>341</v>
      </c>
      <c r="E316" s="76" t="b">
        <v>0</v>
      </c>
      <c r="F316" s="76" t="b">
        <v>0</v>
      </c>
      <c r="G316" s="76" t="b">
        <v>0</v>
      </c>
    </row>
    <row r="317" spans="1:7" ht="15">
      <c r="A317" s="73" t="s">
        <v>1603</v>
      </c>
      <c r="B317" s="76">
        <v>3</v>
      </c>
      <c r="C317" s="87">
        <v>0.0060433403981245875</v>
      </c>
      <c r="D317" s="76" t="s">
        <v>341</v>
      </c>
      <c r="E317" s="76" t="b">
        <v>0</v>
      </c>
      <c r="F317" s="76" t="b">
        <v>0</v>
      </c>
      <c r="G317" s="76" t="b">
        <v>0</v>
      </c>
    </row>
    <row r="318" spans="1:7" ht="15">
      <c r="A318" s="73" t="s">
        <v>368</v>
      </c>
      <c r="B318" s="76">
        <v>3</v>
      </c>
      <c r="C318" s="87">
        <v>0.009543007303158787</v>
      </c>
      <c r="D318" s="76" t="s">
        <v>341</v>
      </c>
      <c r="E318" s="76" t="b">
        <v>0</v>
      </c>
      <c r="F318" s="76" t="b">
        <v>0</v>
      </c>
      <c r="G318" s="76" t="b">
        <v>0</v>
      </c>
    </row>
    <row r="319" spans="1:7" ht="15">
      <c r="A319" s="73" t="s">
        <v>1664</v>
      </c>
      <c r="B319" s="76">
        <v>2</v>
      </c>
      <c r="C319" s="87">
        <v>0.004889975550122249</v>
      </c>
      <c r="D319" s="76" t="s">
        <v>341</v>
      </c>
      <c r="E319" s="76" t="b">
        <v>0</v>
      </c>
      <c r="F319" s="76" t="b">
        <v>0</v>
      </c>
      <c r="G319" s="76" t="b">
        <v>0</v>
      </c>
    </row>
    <row r="320" spans="1:7" ht="15">
      <c r="A320" s="73" t="s">
        <v>1598</v>
      </c>
      <c r="B320" s="76">
        <v>2</v>
      </c>
      <c r="C320" s="87">
        <v>0.004889975550122249</v>
      </c>
      <c r="D320" s="76" t="s">
        <v>341</v>
      </c>
      <c r="E320" s="76" t="b">
        <v>0</v>
      </c>
      <c r="F320" s="76" t="b">
        <v>0</v>
      </c>
      <c r="G320" s="76" t="b">
        <v>0</v>
      </c>
    </row>
    <row r="321" spans="1:7" ht="15">
      <c r="A321" s="73" t="s">
        <v>1592</v>
      </c>
      <c r="B321" s="76">
        <v>2</v>
      </c>
      <c r="C321" s="87">
        <v>0.004889975550122249</v>
      </c>
      <c r="D321" s="76" t="s">
        <v>341</v>
      </c>
      <c r="E321" s="76" t="b">
        <v>0</v>
      </c>
      <c r="F321" s="76" t="b">
        <v>0</v>
      </c>
      <c r="G321" s="76" t="b">
        <v>0</v>
      </c>
    </row>
    <row r="322" spans="1:7" ht="15">
      <c r="A322" s="73" t="s">
        <v>1642</v>
      </c>
      <c r="B322" s="76">
        <v>2</v>
      </c>
      <c r="C322" s="87">
        <v>0.004889975550122249</v>
      </c>
      <c r="D322" s="76" t="s">
        <v>341</v>
      </c>
      <c r="E322" s="76" t="b">
        <v>0</v>
      </c>
      <c r="F322" s="76" t="b">
        <v>0</v>
      </c>
      <c r="G322" s="76" t="b">
        <v>0</v>
      </c>
    </row>
    <row r="323" spans="1:7" ht="15">
      <c r="A323" s="73" t="s">
        <v>1683</v>
      </c>
      <c r="B323" s="76">
        <v>2</v>
      </c>
      <c r="C323" s="87">
        <v>0.0063620048687725245</v>
      </c>
      <c r="D323" s="76" t="s">
        <v>341</v>
      </c>
      <c r="E323" s="76" t="b">
        <v>0</v>
      </c>
      <c r="F323" s="76" t="b">
        <v>0</v>
      </c>
      <c r="G323" s="76" t="b">
        <v>0</v>
      </c>
    </row>
    <row r="324" spans="1:7" ht="15">
      <c r="A324" s="73" t="s">
        <v>1632</v>
      </c>
      <c r="B324" s="76">
        <v>2</v>
      </c>
      <c r="C324" s="87">
        <v>0.004889975550122249</v>
      </c>
      <c r="D324" s="76" t="s">
        <v>341</v>
      </c>
      <c r="E324" s="76" t="b">
        <v>0</v>
      </c>
      <c r="F324" s="76" t="b">
        <v>0</v>
      </c>
      <c r="G324" s="76" t="b">
        <v>0</v>
      </c>
    </row>
    <row r="325" spans="1:7" ht="15">
      <c r="A325" s="73" t="s">
        <v>1681</v>
      </c>
      <c r="B325" s="76">
        <v>2</v>
      </c>
      <c r="C325" s="87">
        <v>0.004889975550122249</v>
      </c>
      <c r="D325" s="76" t="s">
        <v>341</v>
      </c>
      <c r="E325" s="76" t="b">
        <v>0</v>
      </c>
      <c r="F325" s="76" t="b">
        <v>0</v>
      </c>
      <c r="G325" s="76" t="b">
        <v>0</v>
      </c>
    </row>
    <row r="326" spans="1:7" ht="15">
      <c r="A326" s="73" t="s">
        <v>1680</v>
      </c>
      <c r="B326" s="76">
        <v>2</v>
      </c>
      <c r="C326" s="87">
        <v>0.004889975550122249</v>
      </c>
      <c r="D326" s="76" t="s">
        <v>341</v>
      </c>
      <c r="E326" s="76" t="b">
        <v>0</v>
      </c>
      <c r="F326" s="76" t="b">
        <v>0</v>
      </c>
      <c r="G326" s="76" t="b">
        <v>0</v>
      </c>
    </row>
    <row r="327" spans="1:7" ht="15">
      <c r="A327" s="73" t="s">
        <v>1682</v>
      </c>
      <c r="B327" s="76">
        <v>2</v>
      </c>
      <c r="C327" s="87">
        <v>0.0063620048687725245</v>
      </c>
      <c r="D327" s="76" t="s">
        <v>341</v>
      </c>
      <c r="E327" s="76" t="b">
        <v>0</v>
      </c>
      <c r="F327" s="76" t="b">
        <v>0</v>
      </c>
      <c r="G327" s="76" t="b">
        <v>0</v>
      </c>
    </row>
    <row r="328" spans="1:7" ht="15">
      <c r="A328" s="73" t="s">
        <v>1588</v>
      </c>
      <c r="B328" s="76">
        <v>2</v>
      </c>
      <c r="C328" s="87">
        <v>0.004889975550122249</v>
      </c>
      <c r="D328" s="76" t="s">
        <v>341</v>
      </c>
      <c r="E328" s="76" t="b">
        <v>0</v>
      </c>
      <c r="F328" s="76" t="b">
        <v>0</v>
      </c>
      <c r="G328" s="76" t="b">
        <v>0</v>
      </c>
    </row>
    <row r="329" spans="1:7" ht="15">
      <c r="A329" s="73" t="s">
        <v>1553</v>
      </c>
      <c r="B329" s="76">
        <v>2</v>
      </c>
      <c r="C329" s="87">
        <v>0.004889975550122249</v>
      </c>
      <c r="D329" s="76" t="s">
        <v>341</v>
      </c>
      <c r="E329" s="76" t="b">
        <v>0</v>
      </c>
      <c r="F329" s="76" t="b">
        <v>0</v>
      </c>
      <c r="G329" s="76" t="b">
        <v>0</v>
      </c>
    </row>
    <row r="330" spans="1:7" ht="15">
      <c r="A330" s="73" t="s">
        <v>1551</v>
      </c>
      <c r="B330" s="76">
        <v>2</v>
      </c>
      <c r="C330" s="87">
        <v>0.004889975550122249</v>
      </c>
      <c r="D330" s="76" t="s">
        <v>341</v>
      </c>
      <c r="E330" s="76" t="b">
        <v>0</v>
      </c>
      <c r="F330" s="76" t="b">
        <v>0</v>
      </c>
      <c r="G330" s="76" t="b">
        <v>0</v>
      </c>
    </row>
    <row r="331" spans="1:7" ht="15">
      <c r="A331" s="73" t="s">
        <v>1677</v>
      </c>
      <c r="B331" s="76">
        <v>2</v>
      </c>
      <c r="C331" s="87">
        <v>0.004889975550122249</v>
      </c>
      <c r="D331" s="76" t="s">
        <v>341</v>
      </c>
      <c r="E331" s="76" t="b">
        <v>0</v>
      </c>
      <c r="F331" s="76" t="b">
        <v>0</v>
      </c>
      <c r="G331" s="76" t="b">
        <v>0</v>
      </c>
    </row>
    <row r="332" spans="1:7" ht="15">
      <c r="A332" s="73" t="s">
        <v>383</v>
      </c>
      <c r="B332" s="76">
        <v>2</v>
      </c>
      <c r="C332" s="87">
        <v>0.004889975550122249</v>
      </c>
      <c r="D332" s="76" t="s">
        <v>341</v>
      </c>
      <c r="E332" s="76" t="b">
        <v>0</v>
      </c>
      <c r="F332" s="76" t="b">
        <v>0</v>
      </c>
      <c r="G332" s="76" t="b">
        <v>0</v>
      </c>
    </row>
    <row r="333" spans="1:7" ht="15">
      <c r="A333" s="73" t="s">
        <v>1678</v>
      </c>
      <c r="B333" s="76">
        <v>2</v>
      </c>
      <c r="C333" s="87">
        <v>0.004889975550122249</v>
      </c>
      <c r="D333" s="76" t="s">
        <v>341</v>
      </c>
      <c r="E333" s="76" t="b">
        <v>0</v>
      </c>
      <c r="F333" s="76" t="b">
        <v>0</v>
      </c>
      <c r="G333" s="76" t="b">
        <v>0</v>
      </c>
    </row>
    <row r="334" spans="1:7" ht="15">
      <c r="A334" s="73" t="s">
        <v>1679</v>
      </c>
      <c r="B334" s="76">
        <v>2</v>
      </c>
      <c r="C334" s="87">
        <v>0.004889975550122249</v>
      </c>
      <c r="D334" s="76" t="s">
        <v>341</v>
      </c>
      <c r="E334" s="76" t="b">
        <v>0</v>
      </c>
      <c r="F334" s="76" t="b">
        <v>0</v>
      </c>
      <c r="G334" s="76" t="b">
        <v>0</v>
      </c>
    </row>
    <row r="335" spans="1:7" ht="15">
      <c r="A335" s="73" t="s">
        <v>1668</v>
      </c>
      <c r="B335" s="76">
        <v>2</v>
      </c>
      <c r="C335" s="87">
        <v>0.004889975550122249</v>
      </c>
      <c r="D335" s="76" t="s">
        <v>341</v>
      </c>
      <c r="E335" s="76" t="b">
        <v>0</v>
      </c>
      <c r="F335" s="76" t="b">
        <v>0</v>
      </c>
      <c r="G335" s="76" t="b">
        <v>0</v>
      </c>
    </row>
    <row r="336" spans="1:7" ht="15">
      <c r="A336" s="73" t="s">
        <v>1669</v>
      </c>
      <c r="B336" s="76">
        <v>2</v>
      </c>
      <c r="C336" s="87">
        <v>0.004889975550122249</v>
      </c>
      <c r="D336" s="76" t="s">
        <v>341</v>
      </c>
      <c r="E336" s="76" t="b">
        <v>0</v>
      </c>
      <c r="F336" s="76" t="b">
        <v>0</v>
      </c>
      <c r="G336" s="76" t="b">
        <v>0</v>
      </c>
    </row>
    <row r="337" spans="1:7" ht="15">
      <c r="A337" s="73" t="s">
        <v>1676</v>
      </c>
      <c r="B337" s="76">
        <v>2</v>
      </c>
      <c r="C337" s="87">
        <v>0.004889975550122249</v>
      </c>
      <c r="D337" s="76" t="s">
        <v>341</v>
      </c>
      <c r="E337" s="76" t="b">
        <v>0</v>
      </c>
      <c r="F337" s="76" t="b">
        <v>0</v>
      </c>
      <c r="G337" s="76" t="b">
        <v>0</v>
      </c>
    </row>
    <row r="338" spans="1:7" ht="15">
      <c r="A338" s="73" t="s">
        <v>1670</v>
      </c>
      <c r="B338" s="76">
        <v>2</v>
      </c>
      <c r="C338" s="87">
        <v>0.004889975550122249</v>
      </c>
      <c r="D338" s="76" t="s">
        <v>341</v>
      </c>
      <c r="E338" s="76" t="b">
        <v>0</v>
      </c>
      <c r="F338" s="76" t="b">
        <v>0</v>
      </c>
      <c r="G338" s="76" t="b">
        <v>0</v>
      </c>
    </row>
    <row r="339" spans="1:7" ht="15">
      <c r="A339" s="73" t="s">
        <v>1667</v>
      </c>
      <c r="B339" s="76">
        <v>2</v>
      </c>
      <c r="C339" s="87">
        <v>0.0063620048687725245</v>
      </c>
      <c r="D339" s="76" t="s">
        <v>341</v>
      </c>
      <c r="E339" s="76" t="b">
        <v>0</v>
      </c>
      <c r="F339" s="76" t="b">
        <v>0</v>
      </c>
      <c r="G339" s="76" t="b">
        <v>0</v>
      </c>
    </row>
    <row r="340" spans="1:7" ht="15">
      <c r="A340" s="73" t="s">
        <v>1639</v>
      </c>
      <c r="B340" s="76">
        <v>2</v>
      </c>
      <c r="C340" s="87">
        <v>0.004889975550122249</v>
      </c>
      <c r="D340" s="76" t="s">
        <v>341</v>
      </c>
      <c r="E340" s="76" t="b">
        <v>0</v>
      </c>
      <c r="F340" s="76" t="b">
        <v>0</v>
      </c>
      <c r="G340" s="76" t="b">
        <v>0</v>
      </c>
    </row>
    <row r="341" spans="1:7" ht="15">
      <c r="A341" s="73" t="s">
        <v>1496</v>
      </c>
      <c r="B341" s="76">
        <v>2</v>
      </c>
      <c r="C341" s="87">
        <v>0.0063620048687725245</v>
      </c>
      <c r="D341" s="76" t="s">
        <v>341</v>
      </c>
      <c r="E341" s="76" t="b">
        <v>0</v>
      </c>
      <c r="F341" s="76" t="b">
        <v>0</v>
      </c>
      <c r="G341" s="76" t="b">
        <v>0</v>
      </c>
    </row>
    <row r="342" spans="1:7" ht="15">
      <c r="A342" s="73" t="s">
        <v>1638</v>
      </c>
      <c r="B342" s="76">
        <v>2</v>
      </c>
      <c r="C342" s="87">
        <v>0.004889975550122249</v>
      </c>
      <c r="D342" s="76" t="s">
        <v>341</v>
      </c>
      <c r="E342" s="76" t="b">
        <v>0</v>
      </c>
      <c r="F342" s="76" t="b">
        <v>0</v>
      </c>
      <c r="G342" s="76" t="b">
        <v>0</v>
      </c>
    </row>
    <row r="343" spans="1:7" ht="15">
      <c r="A343" s="73" t="s">
        <v>1506</v>
      </c>
      <c r="B343" s="76">
        <v>2</v>
      </c>
      <c r="C343" s="87">
        <v>0.004889975550122249</v>
      </c>
      <c r="D343" s="76" t="s">
        <v>341</v>
      </c>
      <c r="E343" s="76" t="b">
        <v>0</v>
      </c>
      <c r="F343" s="76" t="b">
        <v>0</v>
      </c>
      <c r="G343" s="76" t="b">
        <v>0</v>
      </c>
    </row>
    <row r="344" spans="1:7" ht="15">
      <c r="A344" s="73" t="s">
        <v>1602</v>
      </c>
      <c r="B344" s="76">
        <v>2</v>
      </c>
      <c r="C344" s="87">
        <v>0.004889975550122249</v>
      </c>
      <c r="D344" s="76" t="s">
        <v>341</v>
      </c>
      <c r="E344" s="76" t="b">
        <v>0</v>
      </c>
      <c r="F344" s="76" t="b">
        <v>0</v>
      </c>
      <c r="G344" s="76" t="b">
        <v>0</v>
      </c>
    </row>
    <row r="345" spans="1:7" ht="15">
      <c r="A345" s="73" t="s">
        <v>1494</v>
      </c>
      <c r="B345" s="76">
        <v>26</v>
      </c>
      <c r="C345" s="87">
        <v>0</v>
      </c>
      <c r="D345" s="76" t="s">
        <v>342</v>
      </c>
      <c r="E345" s="76" t="b">
        <v>0</v>
      </c>
      <c r="F345" s="76" t="b">
        <v>0</v>
      </c>
      <c r="G345" s="76" t="b">
        <v>0</v>
      </c>
    </row>
    <row r="346" spans="1:7" ht="15">
      <c r="A346" s="73" t="s">
        <v>1495</v>
      </c>
      <c r="B346" s="76">
        <v>26</v>
      </c>
      <c r="C346" s="87">
        <v>0</v>
      </c>
      <c r="D346" s="76" t="s">
        <v>342</v>
      </c>
      <c r="E346" s="76" t="b">
        <v>0</v>
      </c>
      <c r="F346" s="76" t="b">
        <v>0</v>
      </c>
      <c r="G346" s="76" t="b">
        <v>0</v>
      </c>
    </row>
    <row r="347" spans="1:7" ht="15">
      <c r="A347" s="73" t="s">
        <v>1527</v>
      </c>
      <c r="B347" s="76">
        <v>13</v>
      </c>
      <c r="C347" s="87">
        <v>0</v>
      </c>
      <c r="D347" s="76" t="s">
        <v>342</v>
      </c>
      <c r="E347" s="76" t="b">
        <v>0</v>
      </c>
      <c r="F347" s="76" t="b">
        <v>0</v>
      </c>
      <c r="G347" s="76" t="b">
        <v>0</v>
      </c>
    </row>
    <row r="348" spans="1:7" ht="15">
      <c r="A348" s="73" t="s">
        <v>1528</v>
      </c>
      <c r="B348" s="76">
        <v>13</v>
      </c>
      <c r="C348" s="87">
        <v>0</v>
      </c>
      <c r="D348" s="76" t="s">
        <v>342</v>
      </c>
      <c r="E348" s="76" t="b">
        <v>0</v>
      </c>
      <c r="F348" s="76" t="b">
        <v>0</v>
      </c>
      <c r="G348" s="76" t="b">
        <v>0</v>
      </c>
    </row>
    <row r="349" spans="1:7" ht="15">
      <c r="A349" s="73" t="s">
        <v>1529</v>
      </c>
      <c r="B349" s="76">
        <v>13</v>
      </c>
      <c r="C349" s="87">
        <v>0</v>
      </c>
      <c r="D349" s="76" t="s">
        <v>342</v>
      </c>
      <c r="E349" s="76" t="b">
        <v>0</v>
      </c>
      <c r="F349" s="76" t="b">
        <v>0</v>
      </c>
      <c r="G349" s="76" t="b">
        <v>0</v>
      </c>
    </row>
    <row r="350" spans="1:7" ht="15">
      <c r="A350" s="73" t="s">
        <v>1510</v>
      </c>
      <c r="B350" s="76">
        <v>13</v>
      </c>
      <c r="C350" s="87">
        <v>0</v>
      </c>
      <c r="D350" s="76" t="s">
        <v>342</v>
      </c>
      <c r="E350" s="76" t="b">
        <v>0</v>
      </c>
      <c r="F350" s="76" t="b">
        <v>0</v>
      </c>
      <c r="G350" s="76" t="b">
        <v>0</v>
      </c>
    </row>
    <row r="351" spans="1:7" ht="15">
      <c r="A351" s="73" t="s">
        <v>360</v>
      </c>
      <c r="B351" s="76">
        <v>13</v>
      </c>
      <c r="C351" s="87">
        <v>0</v>
      </c>
      <c r="D351" s="76" t="s">
        <v>342</v>
      </c>
      <c r="E351" s="76" t="b">
        <v>0</v>
      </c>
      <c r="F351" s="76" t="b">
        <v>0</v>
      </c>
      <c r="G351" s="76" t="b">
        <v>0</v>
      </c>
    </row>
    <row r="352" spans="1:7" ht="15">
      <c r="A352" s="73" t="s">
        <v>362</v>
      </c>
      <c r="B352" s="76">
        <v>13</v>
      </c>
      <c r="C352" s="87">
        <v>0</v>
      </c>
      <c r="D352" s="76" t="s">
        <v>342</v>
      </c>
      <c r="E352" s="76" t="b">
        <v>0</v>
      </c>
      <c r="F352" s="76" t="b">
        <v>0</v>
      </c>
      <c r="G352" s="76" t="b">
        <v>0</v>
      </c>
    </row>
    <row r="353" spans="1:7" ht="15">
      <c r="A353" s="73" t="s">
        <v>363</v>
      </c>
      <c r="B353" s="76">
        <v>13</v>
      </c>
      <c r="C353" s="87">
        <v>0</v>
      </c>
      <c r="D353" s="76" t="s">
        <v>342</v>
      </c>
      <c r="E353" s="76" t="b">
        <v>0</v>
      </c>
      <c r="F353" s="76" t="b">
        <v>0</v>
      </c>
      <c r="G353" s="76" t="b">
        <v>0</v>
      </c>
    </row>
    <row r="354" spans="1:7" ht="15">
      <c r="A354" s="73" t="s">
        <v>1530</v>
      </c>
      <c r="B354" s="76">
        <v>13</v>
      </c>
      <c r="C354" s="87">
        <v>0</v>
      </c>
      <c r="D354" s="76" t="s">
        <v>342</v>
      </c>
      <c r="E354" s="76" t="b">
        <v>0</v>
      </c>
      <c r="F354" s="76" t="b">
        <v>0</v>
      </c>
      <c r="G354" s="76" t="b">
        <v>0</v>
      </c>
    </row>
    <row r="355" spans="1:7" ht="15">
      <c r="A355" s="73" t="s">
        <v>1531</v>
      </c>
      <c r="B355" s="76">
        <v>13</v>
      </c>
      <c r="C355" s="87">
        <v>0</v>
      </c>
      <c r="D355" s="76" t="s">
        <v>342</v>
      </c>
      <c r="E355" s="76" t="b">
        <v>0</v>
      </c>
      <c r="F355" s="76" t="b">
        <v>0</v>
      </c>
      <c r="G355" s="76" t="b">
        <v>0</v>
      </c>
    </row>
    <row r="356" spans="1:7" ht="15">
      <c r="A356" s="73" t="s">
        <v>1532</v>
      </c>
      <c r="B356" s="76">
        <v>13</v>
      </c>
      <c r="C356" s="87">
        <v>0</v>
      </c>
      <c r="D356" s="76" t="s">
        <v>342</v>
      </c>
      <c r="E356" s="76" t="b">
        <v>0</v>
      </c>
      <c r="F356" s="76" t="b">
        <v>0</v>
      </c>
      <c r="G356" s="76" t="b">
        <v>0</v>
      </c>
    </row>
    <row r="357" spans="1:7" ht="15">
      <c r="A357" s="73" t="s">
        <v>1533</v>
      </c>
      <c r="B357" s="76">
        <v>13</v>
      </c>
      <c r="C357" s="87">
        <v>0</v>
      </c>
      <c r="D357" s="76" t="s">
        <v>342</v>
      </c>
      <c r="E357" s="76" t="b">
        <v>0</v>
      </c>
      <c r="F357" s="76" t="b">
        <v>0</v>
      </c>
      <c r="G357" s="76" t="b">
        <v>0</v>
      </c>
    </row>
    <row r="358" spans="1:7" ht="15">
      <c r="A358" s="73" t="s">
        <v>1534</v>
      </c>
      <c r="B358" s="76">
        <v>13</v>
      </c>
      <c r="C358" s="87">
        <v>0</v>
      </c>
      <c r="D358" s="76" t="s">
        <v>342</v>
      </c>
      <c r="E358" s="76" t="b">
        <v>0</v>
      </c>
      <c r="F358" s="76" t="b">
        <v>0</v>
      </c>
      <c r="G358" s="76" t="b">
        <v>0</v>
      </c>
    </row>
    <row r="359" spans="1:7" ht="15">
      <c r="A359" s="73" t="s">
        <v>1497</v>
      </c>
      <c r="B359" s="76">
        <v>13</v>
      </c>
      <c r="C359" s="87">
        <v>0</v>
      </c>
      <c r="D359" s="76" t="s">
        <v>342</v>
      </c>
      <c r="E359" s="76" t="b">
        <v>0</v>
      </c>
      <c r="F359" s="76" t="b">
        <v>0</v>
      </c>
      <c r="G359" s="76" t="b">
        <v>0</v>
      </c>
    </row>
    <row r="360" spans="1:7" ht="15">
      <c r="A360" s="73" t="s">
        <v>1506</v>
      </c>
      <c r="B360" s="76">
        <v>13</v>
      </c>
      <c r="C360" s="87">
        <v>0</v>
      </c>
      <c r="D360" s="76" t="s">
        <v>342</v>
      </c>
      <c r="E360" s="76" t="b">
        <v>0</v>
      </c>
      <c r="F360" s="76" t="b">
        <v>0</v>
      </c>
      <c r="G360" s="76" t="b">
        <v>0</v>
      </c>
    </row>
    <row r="361" spans="1:7" ht="15">
      <c r="A361" s="73" t="s">
        <v>1535</v>
      </c>
      <c r="B361" s="76">
        <v>13</v>
      </c>
      <c r="C361" s="87">
        <v>0</v>
      </c>
      <c r="D361" s="76" t="s">
        <v>342</v>
      </c>
      <c r="E361" s="76" t="b">
        <v>0</v>
      </c>
      <c r="F361" s="76" t="b">
        <v>0</v>
      </c>
      <c r="G361" s="76" t="b">
        <v>0</v>
      </c>
    </row>
    <row r="362" spans="1:7" ht="15">
      <c r="A362" s="73" t="s">
        <v>1536</v>
      </c>
      <c r="B362" s="76">
        <v>13</v>
      </c>
      <c r="C362" s="87">
        <v>0</v>
      </c>
      <c r="D362" s="76" t="s">
        <v>342</v>
      </c>
      <c r="E362" s="76" t="b">
        <v>0</v>
      </c>
      <c r="F362" s="76" t="b">
        <v>0</v>
      </c>
      <c r="G362" s="76" t="b">
        <v>0</v>
      </c>
    </row>
    <row r="363" spans="1:7" ht="15">
      <c r="A363" s="73" t="s">
        <v>1525</v>
      </c>
      <c r="B363" s="76">
        <v>13</v>
      </c>
      <c r="C363" s="87">
        <v>0</v>
      </c>
      <c r="D363" s="76" t="s">
        <v>342</v>
      </c>
      <c r="E363" s="76" t="b">
        <v>0</v>
      </c>
      <c r="F363" s="76" t="b">
        <v>0</v>
      </c>
      <c r="G363" s="76" t="b">
        <v>0</v>
      </c>
    </row>
    <row r="364" spans="1:7" ht="15">
      <c r="A364" s="73" t="s">
        <v>1537</v>
      </c>
      <c r="B364" s="76">
        <v>13</v>
      </c>
      <c r="C364" s="87">
        <v>0</v>
      </c>
      <c r="D364" s="76" t="s">
        <v>342</v>
      </c>
      <c r="E364" s="76" t="b">
        <v>0</v>
      </c>
      <c r="F364" s="76" t="b">
        <v>0</v>
      </c>
      <c r="G364" s="76" t="b">
        <v>0</v>
      </c>
    </row>
    <row r="365" spans="1:7" ht="15">
      <c r="A365" s="73" t="s">
        <v>1507</v>
      </c>
      <c r="B365" s="76">
        <v>13</v>
      </c>
      <c r="C365" s="87">
        <v>0</v>
      </c>
      <c r="D365" s="76" t="s">
        <v>342</v>
      </c>
      <c r="E365" s="76" t="b">
        <v>0</v>
      </c>
      <c r="F365" s="76" t="b">
        <v>0</v>
      </c>
      <c r="G365" s="76" t="b">
        <v>0</v>
      </c>
    </row>
    <row r="366" spans="1:7" ht="15">
      <c r="A366" s="73" t="s">
        <v>360</v>
      </c>
      <c r="B366" s="76">
        <v>6</v>
      </c>
      <c r="C366" s="87">
        <v>0</v>
      </c>
      <c r="D366" s="76" t="s">
        <v>1462</v>
      </c>
      <c r="E366" s="76" t="b">
        <v>0</v>
      </c>
      <c r="F366" s="76" t="b">
        <v>0</v>
      </c>
      <c r="G366" s="76" t="b">
        <v>0</v>
      </c>
    </row>
    <row r="367" spans="1:7" ht="15">
      <c r="A367" s="73" t="s">
        <v>362</v>
      </c>
      <c r="B367" s="76">
        <v>6</v>
      </c>
      <c r="C367" s="87">
        <v>0</v>
      </c>
      <c r="D367" s="76" t="s">
        <v>1462</v>
      </c>
      <c r="E367" s="76" t="b">
        <v>0</v>
      </c>
      <c r="F367" s="76" t="b">
        <v>0</v>
      </c>
      <c r="G367" s="76" t="b">
        <v>0</v>
      </c>
    </row>
    <row r="368" spans="1:7" ht="15">
      <c r="A368" s="73" t="s">
        <v>363</v>
      </c>
      <c r="B368" s="76">
        <v>6</v>
      </c>
      <c r="C368" s="87">
        <v>0</v>
      </c>
      <c r="D368" s="76" t="s">
        <v>1462</v>
      </c>
      <c r="E368" s="76" t="b">
        <v>0</v>
      </c>
      <c r="F368" s="76" t="b">
        <v>0</v>
      </c>
      <c r="G368" s="76" t="b">
        <v>0</v>
      </c>
    </row>
    <row r="369" spans="1:7" ht="15">
      <c r="A369" s="73" t="s">
        <v>642</v>
      </c>
      <c r="B369" s="76">
        <v>6</v>
      </c>
      <c r="C369" s="87">
        <v>0</v>
      </c>
      <c r="D369" s="76" t="s">
        <v>1462</v>
      </c>
      <c r="E369" s="76" t="b">
        <v>0</v>
      </c>
      <c r="F369" s="76" t="b">
        <v>0</v>
      </c>
      <c r="G369" s="76" t="b">
        <v>0</v>
      </c>
    </row>
    <row r="370" spans="1:7" ht="15">
      <c r="A370" s="73" t="s">
        <v>1591</v>
      </c>
      <c r="B370" s="76">
        <v>4</v>
      </c>
      <c r="C370" s="87">
        <v>0.029820078419978902</v>
      </c>
      <c r="D370" s="76" t="s">
        <v>1462</v>
      </c>
      <c r="E370" s="76" t="b">
        <v>0</v>
      </c>
      <c r="F370" s="76" t="b">
        <v>0</v>
      </c>
      <c r="G370" s="76" t="b">
        <v>0</v>
      </c>
    </row>
    <row r="371" spans="1:7" ht="15">
      <c r="A371" s="73" t="s">
        <v>1593</v>
      </c>
      <c r="B371" s="76">
        <v>4</v>
      </c>
      <c r="C371" s="87">
        <v>0.011005703690980077</v>
      </c>
      <c r="D371" s="76" t="s">
        <v>1462</v>
      </c>
      <c r="E371" s="76" t="b">
        <v>0</v>
      </c>
      <c r="F371" s="76" t="b">
        <v>0</v>
      </c>
      <c r="G371" s="76" t="b">
        <v>0</v>
      </c>
    </row>
    <row r="372" spans="1:7" ht="15">
      <c r="A372" s="73" t="s">
        <v>1582</v>
      </c>
      <c r="B372" s="76">
        <v>4</v>
      </c>
      <c r="C372" s="87">
        <v>0.011005703690980077</v>
      </c>
      <c r="D372" s="76" t="s">
        <v>1462</v>
      </c>
      <c r="E372" s="76" t="b">
        <v>0</v>
      </c>
      <c r="F372" s="76" t="b">
        <v>0</v>
      </c>
      <c r="G372" s="76" t="b">
        <v>0</v>
      </c>
    </row>
    <row r="373" spans="1:7" ht="15">
      <c r="A373" s="73" t="s">
        <v>1594</v>
      </c>
      <c r="B373" s="76">
        <v>4</v>
      </c>
      <c r="C373" s="87">
        <v>0.011005703690980077</v>
      </c>
      <c r="D373" s="76" t="s">
        <v>1462</v>
      </c>
      <c r="E373" s="76" t="b">
        <v>0</v>
      </c>
      <c r="F373" s="76" t="b">
        <v>0</v>
      </c>
      <c r="G373" s="76" t="b">
        <v>0</v>
      </c>
    </row>
    <row r="374" spans="1:7" ht="15">
      <c r="A374" s="73" t="s">
        <v>1595</v>
      </c>
      <c r="B374" s="76">
        <v>4</v>
      </c>
      <c r="C374" s="87">
        <v>0.011005703690980077</v>
      </c>
      <c r="D374" s="76" t="s">
        <v>1462</v>
      </c>
      <c r="E374" s="76" t="b">
        <v>0</v>
      </c>
      <c r="F374" s="76" t="b">
        <v>0</v>
      </c>
      <c r="G374" s="76" t="b">
        <v>0</v>
      </c>
    </row>
    <row r="375" spans="1:7" ht="15">
      <c r="A375" s="73" t="s">
        <v>1596</v>
      </c>
      <c r="B375" s="76">
        <v>4</v>
      </c>
      <c r="C375" s="87">
        <v>0.011005703690980077</v>
      </c>
      <c r="D375" s="76" t="s">
        <v>1462</v>
      </c>
      <c r="E375" s="76" t="b">
        <v>0</v>
      </c>
      <c r="F375" s="76" t="b">
        <v>0</v>
      </c>
      <c r="G375" s="76" t="b">
        <v>0</v>
      </c>
    </row>
    <row r="376" spans="1:7" ht="15">
      <c r="A376" s="73" t="s">
        <v>1597</v>
      </c>
      <c r="B376" s="76">
        <v>4</v>
      </c>
      <c r="C376" s="87">
        <v>0.011005703690980077</v>
      </c>
      <c r="D376" s="76" t="s">
        <v>1462</v>
      </c>
      <c r="E376" s="76" t="b">
        <v>0</v>
      </c>
      <c r="F376" s="76" t="b">
        <v>0</v>
      </c>
      <c r="G376" s="76" t="b">
        <v>0</v>
      </c>
    </row>
    <row r="377" spans="1:7" ht="15">
      <c r="A377" s="73" t="s">
        <v>1671</v>
      </c>
      <c r="B377" s="76">
        <v>2</v>
      </c>
      <c r="C377" s="87">
        <v>0.014910039209989451</v>
      </c>
      <c r="D377" s="76" t="s">
        <v>1462</v>
      </c>
      <c r="E377" s="76" t="b">
        <v>1</v>
      </c>
      <c r="F377" s="76" t="b">
        <v>0</v>
      </c>
      <c r="G377" s="76" t="b">
        <v>0</v>
      </c>
    </row>
    <row r="378" spans="1:7" ht="15">
      <c r="A378" s="73" t="s">
        <v>1622</v>
      </c>
      <c r="B378" s="76">
        <v>2</v>
      </c>
      <c r="C378" s="87">
        <v>0.014910039209989451</v>
      </c>
      <c r="D378" s="76" t="s">
        <v>1462</v>
      </c>
      <c r="E378" s="76" t="b">
        <v>0</v>
      </c>
      <c r="F378" s="76" t="b">
        <v>0</v>
      </c>
      <c r="G378" s="76" t="b">
        <v>0</v>
      </c>
    </row>
    <row r="379" spans="1:7" ht="15">
      <c r="A379" s="73" t="s">
        <v>1510</v>
      </c>
      <c r="B379" s="76">
        <v>2</v>
      </c>
      <c r="C379" s="87">
        <v>0.014910039209989451</v>
      </c>
      <c r="D379" s="76" t="s">
        <v>1462</v>
      </c>
      <c r="E379" s="76" t="b">
        <v>0</v>
      </c>
      <c r="F379" s="76" t="b">
        <v>0</v>
      </c>
      <c r="G379" s="76" t="b">
        <v>0</v>
      </c>
    </row>
    <row r="380" spans="1:7" ht="15">
      <c r="A380" s="73" t="s">
        <v>1672</v>
      </c>
      <c r="B380" s="76">
        <v>2</v>
      </c>
      <c r="C380" s="87">
        <v>0.014910039209989451</v>
      </c>
      <c r="D380" s="76" t="s">
        <v>1462</v>
      </c>
      <c r="E380" s="76" t="b">
        <v>0</v>
      </c>
      <c r="F380" s="76" t="b">
        <v>0</v>
      </c>
      <c r="G380" s="76" t="b">
        <v>0</v>
      </c>
    </row>
    <row r="381" spans="1:7" ht="15">
      <c r="A381" s="73" t="s">
        <v>1592</v>
      </c>
      <c r="B381" s="76">
        <v>2</v>
      </c>
      <c r="C381" s="87">
        <v>0.014910039209989451</v>
      </c>
      <c r="D381" s="76" t="s">
        <v>1462</v>
      </c>
      <c r="E381" s="76" t="b">
        <v>0</v>
      </c>
      <c r="F381" s="76" t="b">
        <v>0</v>
      </c>
      <c r="G381" s="76" t="b">
        <v>0</v>
      </c>
    </row>
    <row r="382" spans="1:7" ht="15">
      <c r="A382" s="73" t="s">
        <v>1673</v>
      </c>
      <c r="B382" s="76">
        <v>2</v>
      </c>
      <c r="C382" s="87">
        <v>0.014910039209989451</v>
      </c>
      <c r="D382" s="76" t="s">
        <v>1462</v>
      </c>
      <c r="E382" s="76" t="b">
        <v>0</v>
      </c>
      <c r="F382" s="76" t="b">
        <v>0</v>
      </c>
      <c r="G382" s="76" t="b">
        <v>0</v>
      </c>
    </row>
    <row r="383" spans="1:7" ht="15">
      <c r="A383" s="73" t="s">
        <v>1491</v>
      </c>
      <c r="B383" s="76">
        <v>14</v>
      </c>
      <c r="C383" s="87">
        <v>0</v>
      </c>
      <c r="D383" s="76" t="s">
        <v>1463</v>
      </c>
      <c r="E383" s="76" t="b">
        <v>0</v>
      </c>
      <c r="F383" s="76" t="b">
        <v>0</v>
      </c>
      <c r="G383" s="76" t="b">
        <v>0</v>
      </c>
    </row>
    <row r="384" spans="1:7" ht="15">
      <c r="A384" s="73" t="s">
        <v>1498</v>
      </c>
      <c r="B384" s="76">
        <v>14</v>
      </c>
      <c r="C384" s="87">
        <v>0</v>
      </c>
      <c r="D384" s="76" t="s">
        <v>1463</v>
      </c>
      <c r="E384" s="76" t="b">
        <v>0</v>
      </c>
      <c r="F384" s="76" t="b">
        <v>0</v>
      </c>
      <c r="G384" s="76" t="b">
        <v>0</v>
      </c>
    </row>
    <row r="385" spans="1:7" ht="15">
      <c r="A385" s="73" t="s">
        <v>1526</v>
      </c>
      <c r="B385" s="76">
        <v>14</v>
      </c>
      <c r="C385" s="87">
        <v>0</v>
      </c>
      <c r="D385" s="76" t="s">
        <v>1463</v>
      </c>
      <c r="E385" s="76" t="b">
        <v>0</v>
      </c>
      <c r="F385" s="76" t="b">
        <v>0</v>
      </c>
      <c r="G385" s="76" t="b">
        <v>0</v>
      </c>
    </row>
    <row r="386" spans="1:7" ht="15">
      <c r="A386" s="73" t="s">
        <v>1562</v>
      </c>
      <c r="B386" s="76">
        <v>7</v>
      </c>
      <c r="C386" s="87">
        <v>0</v>
      </c>
      <c r="D386" s="76" t="s">
        <v>1463</v>
      </c>
      <c r="E386" s="76" t="b">
        <v>0</v>
      </c>
      <c r="F386" s="76" t="b">
        <v>0</v>
      </c>
      <c r="G386" s="76" t="b">
        <v>0</v>
      </c>
    </row>
    <row r="387" spans="1:7" ht="15">
      <c r="A387" s="73" t="s">
        <v>1563</v>
      </c>
      <c r="B387" s="76">
        <v>7</v>
      </c>
      <c r="C387" s="87">
        <v>0</v>
      </c>
      <c r="D387" s="76" t="s">
        <v>1463</v>
      </c>
      <c r="E387" s="76" t="b">
        <v>0</v>
      </c>
      <c r="F387" s="76" t="b">
        <v>0</v>
      </c>
      <c r="G387" s="76" t="b">
        <v>0</v>
      </c>
    </row>
    <row r="388" spans="1:7" ht="15">
      <c r="A388" s="73" t="s">
        <v>1564</v>
      </c>
      <c r="B388" s="76">
        <v>7</v>
      </c>
      <c r="C388" s="87">
        <v>0</v>
      </c>
      <c r="D388" s="76" t="s">
        <v>1463</v>
      </c>
      <c r="E388" s="76" t="b">
        <v>0</v>
      </c>
      <c r="F388" s="76" t="b">
        <v>0</v>
      </c>
      <c r="G388" s="76" t="b">
        <v>0</v>
      </c>
    </row>
    <row r="389" spans="1:7" ht="15">
      <c r="A389" s="73" t="s">
        <v>1565</v>
      </c>
      <c r="B389" s="76">
        <v>7</v>
      </c>
      <c r="C389" s="87">
        <v>0</v>
      </c>
      <c r="D389" s="76" t="s">
        <v>1463</v>
      </c>
      <c r="E389" s="76" t="b">
        <v>0</v>
      </c>
      <c r="F389" s="76" t="b">
        <v>0</v>
      </c>
      <c r="G389" s="76" t="b">
        <v>0</v>
      </c>
    </row>
    <row r="390" spans="1:7" ht="15">
      <c r="A390" s="73" t="s">
        <v>1566</v>
      </c>
      <c r="B390" s="76">
        <v>7</v>
      </c>
      <c r="C390" s="87">
        <v>0</v>
      </c>
      <c r="D390" s="76" t="s">
        <v>1463</v>
      </c>
      <c r="E390" s="76" t="b">
        <v>0</v>
      </c>
      <c r="F390" s="76" t="b">
        <v>0</v>
      </c>
      <c r="G390" s="76" t="b">
        <v>0</v>
      </c>
    </row>
    <row r="391" spans="1:7" ht="15">
      <c r="A391" s="73" t="s">
        <v>1567</v>
      </c>
      <c r="B391" s="76">
        <v>7</v>
      </c>
      <c r="C391" s="87">
        <v>0</v>
      </c>
      <c r="D391" s="76" t="s">
        <v>1463</v>
      </c>
      <c r="E391" s="76" t="b">
        <v>0</v>
      </c>
      <c r="F391" s="76" t="b">
        <v>0</v>
      </c>
      <c r="G391" s="76" t="b">
        <v>0</v>
      </c>
    </row>
    <row r="392" spans="1:7" ht="15">
      <c r="A392" s="73" t="s">
        <v>1568</v>
      </c>
      <c r="B392" s="76">
        <v>7</v>
      </c>
      <c r="C392" s="87">
        <v>0</v>
      </c>
      <c r="D392" s="76" t="s">
        <v>1463</v>
      </c>
      <c r="E392" s="76" t="b">
        <v>0</v>
      </c>
      <c r="F392" s="76" t="b">
        <v>0</v>
      </c>
      <c r="G392" s="76" t="b">
        <v>0</v>
      </c>
    </row>
    <row r="393" spans="1:7" ht="15">
      <c r="A393" s="73" t="s">
        <v>1569</v>
      </c>
      <c r="B393" s="76">
        <v>7</v>
      </c>
      <c r="C393" s="87">
        <v>0</v>
      </c>
      <c r="D393" s="76" t="s">
        <v>1463</v>
      </c>
      <c r="E393" s="76" t="b">
        <v>0</v>
      </c>
      <c r="F393" s="76" t="b">
        <v>0</v>
      </c>
      <c r="G393" s="76" t="b">
        <v>0</v>
      </c>
    </row>
    <row r="394" spans="1:7" ht="15">
      <c r="A394" s="73" t="s">
        <v>1499</v>
      </c>
      <c r="B394" s="76">
        <v>7</v>
      </c>
      <c r="C394" s="87">
        <v>0</v>
      </c>
      <c r="D394" s="76" t="s">
        <v>1463</v>
      </c>
      <c r="E394" s="76" t="b">
        <v>0</v>
      </c>
      <c r="F394" s="76" t="b">
        <v>0</v>
      </c>
      <c r="G394" s="76" t="b">
        <v>0</v>
      </c>
    </row>
    <row r="395" spans="1:7" ht="15">
      <c r="A395" s="73" t="s">
        <v>1570</v>
      </c>
      <c r="B395" s="76">
        <v>7</v>
      </c>
      <c r="C395" s="87">
        <v>0</v>
      </c>
      <c r="D395" s="76" t="s">
        <v>1463</v>
      </c>
      <c r="E395" s="76" t="b">
        <v>0</v>
      </c>
      <c r="F395" s="76" t="b">
        <v>0</v>
      </c>
      <c r="G395" s="76" t="b">
        <v>0</v>
      </c>
    </row>
    <row r="396" spans="1:7" ht="15">
      <c r="A396" s="73" t="s">
        <v>1554</v>
      </c>
      <c r="B396" s="76">
        <v>7</v>
      </c>
      <c r="C396" s="87">
        <v>0</v>
      </c>
      <c r="D396" s="76" t="s">
        <v>1463</v>
      </c>
      <c r="E396" s="76" t="b">
        <v>0</v>
      </c>
      <c r="F396" s="76" t="b">
        <v>0</v>
      </c>
      <c r="G396" s="76" t="b">
        <v>0</v>
      </c>
    </row>
    <row r="397" spans="1:7" ht="15">
      <c r="A397" s="73" t="s">
        <v>1571</v>
      </c>
      <c r="B397" s="76">
        <v>7</v>
      </c>
      <c r="C397" s="87">
        <v>0</v>
      </c>
      <c r="D397" s="76" t="s">
        <v>1463</v>
      </c>
      <c r="E397" s="76" t="b">
        <v>0</v>
      </c>
      <c r="F397" s="76" t="b">
        <v>0</v>
      </c>
      <c r="G397" s="76" t="b">
        <v>0</v>
      </c>
    </row>
    <row r="398" spans="1:7" ht="15">
      <c r="A398" s="73" t="s">
        <v>1572</v>
      </c>
      <c r="B398" s="76">
        <v>7</v>
      </c>
      <c r="C398" s="87">
        <v>0</v>
      </c>
      <c r="D398" s="76" t="s">
        <v>1463</v>
      </c>
      <c r="E398" s="76" t="b">
        <v>0</v>
      </c>
      <c r="F398" s="76" t="b">
        <v>0</v>
      </c>
      <c r="G398" s="76" t="b">
        <v>0</v>
      </c>
    </row>
    <row r="399" spans="1:7" ht="15">
      <c r="A399" s="73" t="s">
        <v>1573</v>
      </c>
      <c r="B399" s="76">
        <v>7</v>
      </c>
      <c r="C399" s="87">
        <v>0</v>
      </c>
      <c r="D399" s="76" t="s">
        <v>1463</v>
      </c>
      <c r="E399" s="76" t="b">
        <v>0</v>
      </c>
      <c r="F399" s="76" t="b">
        <v>0</v>
      </c>
      <c r="G399" s="76" t="b">
        <v>0</v>
      </c>
    </row>
    <row r="400" spans="1:7" ht="15">
      <c r="A400" s="73" t="s">
        <v>1574</v>
      </c>
      <c r="B400" s="76">
        <v>7</v>
      </c>
      <c r="C400" s="87">
        <v>0</v>
      </c>
      <c r="D400" s="76" t="s">
        <v>1463</v>
      </c>
      <c r="E400" s="76" t="b">
        <v>0</v>
      </c>
      <c r="F400" s="76" t="b">
        <v>0</v>
      </c>
      <c r="G400" s="76" t="b">
        <v>0</v>
      </c>
    </row>
    <row r="401" spans="1:7" ht="15">
      <c r="A401" s="73" t="s">
        <v>373</v>
      </c>
      <c r="B401" s="76">
        <v>7</v>
      </c>
      <c r="C401" s="87">
        <v>0</v>
      </c>
      <c r="D401" s="76" t="s">
        <v>1463</v>
      </c>
      <c r="E401" s="76" t="b">
        <v>0</v>
      </c>
      <c r="F401" s="76" t="b">
        <v>0</v>
      </c>
      <c r="G401" s="76" t="b">
        <v>0</v>
      </c>
    </row>
    <row r="402" spans="1:7" ht="15">
      <c r="A402" s="73" t="s">
        <v>1575</v>
      </c>
      <c r="B402" s="76">
        <v>7</v>
      </c>
      <c r="C402" s="87">
        <v>0</v>
      </c>
      <c r="D402" s="76" t="s">
        <v>1463</v>
      </c>
      <c r="E402" s="76" t="b">
        <v>0</v>
      </c>
      <c r="F402" s="76" t="b">
        <v>0</v>
      </c>
      <c r="G402" s="76" t="b">
        <v>0</v>
      </c>
    </row>
    <row r="403" spans="1:7" ht="15">
      <c r="A403" s="73" t="s">
        <v>1576</v>
      </c>
      <c r="B403" s="76">
        <v>7</v>
      </c>
      <c r="C403" s="87">
        <v>0</v>
      </c>
      <c r="D403" s="76" t="s">
        <v>1463</v>
      </c>
      <c r="E403" s="76" t="b">
        <v>0</v>
      </c>
      <c r="F403" s="76" t="b">
        <v>0</v>
      </c>
      <c r="G403" s="76" t="b">
        <v>0</v>
      </c>
    </row>
    <row r="404" spans="1:7" ht="15">
      <c r="A404" s="73" t="s">
        <v>1577</v>
      </c>
      <c r="B404" s="76">
        <v>7</v>
      </c>
      <c r="C404" s="87">
        <v>0</v>
      </c>
      <c r="D404" s="76" t="s">
        <v>1463</v>
      </c>
      <c r="E404" s="76" t="b">
        <v>0</v>
      </c>
      <c r="F404" s="76" t="b">
        <v>0</v>
      </c>
      <c r="G404" s="76" t="b">
        <v>0</v>
      </c>
    </row>
    <row r="405" spans="1:7" ht="15">
      <c r="A405" s="73" t="s">
        <v>1503</v>
      </c>
      <c r="B405" s="76">
        <v>7</v>
      </c>
      <c r="C405" s="87">
        <v>0</v>
      </c>
      <c r="D405" s="76" t="s">
        <v>1463</v>
      </c>
      <c r="E405" s="76" t="b">
        <v>0</v>
      </c>
      <c r="F405" s="76" t="b">
        <v>0</v>
      </c>
      <c r="G405" s="76" t="b">
        <v>0</v>
      </c>
    </row>
    <row r="406" spans="1:7" ht="15">
      <c r="A406" s="73" t="s">
        <v>360</v>
      </c>
      <c r="B406" s="76">
        <v>7</v>
      </c>
      <c r="C406" s="87">
        <v>0</v>
      </c>
      <c r="D406" s="76" t="s">
        <v>1463</v>
      </c>
      <c r="E406" s="76" t="b">
        <v>0</v>
      </c>
      <c r="F406" s="76" t="b">
        <v>0</v>
      </c>
      <c r="G406" s="76" t="b">
        <v>0</v>
      </c>
    </row>
    <row r="407" spans="1:7" ht="15">
      <c r="A407" s="73" t="s">
        <v>362</v>
      </c>
      <c r="B407" s="76">
        <v>7</v>
      </c>
      <c r="C407" s="87">
        <v>0</v>
      </c>
      <c r="D407" s="76" t="s">
        <v>1463</v>
      </c>
      <c r="E407" s="76" t="b">
        <v>0</v>
      </c>
      <c r="F407" s="76" t="b">
        <v>0</v>
      </c>
      <c r="G407" s="76" t="b">
        <v>0</v>
      </c>
    </row>
    <row r="408" spans="1:7" ht="15">
      <c r="A408" s="73" t="s">
        <v>1552</v>
      </c>
      <c r="B408" s="76">
        <v>7</v>
      </c>
      <c r="C408" s="87">
        <v>0</v>
      </c>
      <c r="D408" s="76" t="s">
        <v>1463</v>
      </c>
      <c r="E408" s="76" t="b">
        <v>0</v>
      </c>
      <c r="F408" s="76" t="b">
        <v>0</v>
      </c>
      <c r="G408" s="76" t="b">
        <v>0</v>
      </c>
    </row>
    <row r="409" spans="1:7" ht="15">
      <c r="A409" s="73" t="s">
        <v>1578</v>
      </c>
      <c r="B409" s="76">
        <v>7</v>
      </c>
      <c r="C409" s="87">
        <v>0</v>
      </c>
      <c r="D409" s="76" t="s">
        <v>1463</v>
      </c>
      <c r="E409" s="76" t="b">
        <v>0</v>
      </c>
      <c r="F409" s="76" t="b">
        <v>0</v>
      </c>
      <c r="G409" s="76" t="b">
        <v>0</v>
      </c>
    </row>
    <row r="410" spans="1:7" ht="15">
      <c r="A410" s="73" t="s">
        <v>1550</v>
      </c>
      <c r="B410" s="76">
        <v>7</v>
      </c>
      <c r="C410" s="87">
        <v>0</v>
      </c>
      <c r="D410" s="76" t="s">
        <v>1463</v>
      </c>
      <c r="E410" s="76" t="b">
        <v>0</v>
      </c>
      <c r="F410" s="76" t="b">
        <v>0</v>
      </c>
      <c r="G410" s="76" t="b">
        <v>0</v>
      </c>
    </row>
    <row r="411" spans="1:7" ht="15">
      <c r="A411" s="73" t="s">
        <v>1556</v>
      </c>
      <c r="B411" s="76">
        <v>7</v>
      </c>
      <c r="C411" s="87">
        <v>0</v>
      </c>
      <c r="D411" s="76" t="s">
        <v>1463</v>
      </c>
      <c r="E411" s="76" t="b">
        <v>0</v>
      </c>
      <c r="F411" s="76" t="b">
        <v>0</v>
      </c>
      <c r="G411" s="76" t="b">
        <v>0</v>
      </c>
    </row>
    <row r="412" spans="1:7" ht="15">
      <c r="A412" s="73" t="s">
        <v>363</v>
      </c>
      <c r="B412" s="76">
        <v>7</v>
      </c>
      <c r="C412" s="87">
        <v>0</v>
      </c>
      <c r="D412" s="76" t="s">
        <v>1463</v>
      </c>
      <c r="E412" s="76" t="b">
        <v>0</v>
      </c>
      <c r="F412" s="76" t="b">
        <v>0</v>
      </c>
      <c r="G412" s="76" t="b">
        <v>0</v>
      </c>
    </row>
    <row r="413" spans="1:7" ht="15">
      <c r="A413" s="73" t="s">
        <v>1579</v>
      </c>
      <c r="B413" s="76">
        <v>7</v>
      </c>
      <c r="C413" s="87">
        <v>0</v>
      </c>
      <c r="D413" s="76" t="s">
        <v>1463</v>
      </c>
      <c r="E413" s="76" t="b">
        <v>0</v>
      </c>
      <c r="F413" s="76" t="b">
        <v>0</v>
      </c>
      <c r="G413" s="76" t="b">
        <v>0</v>
      </c>
    </row>
    <row r="414" spans="1:7" ht="15">
      <c r="A414" s="73" t="s">
        <v>1555</v>
      </c>
      <c r="B414" s="76">
        <v>7</v>
      </c>
      <c r="C414" s="87">
        <v>0</v>
      </c>
      <c r="D414" s="76" t="s">
        <v>1464</v>
      </c>
      <c r="E414" s="76" t="b">
        <v>1</v>
      </c>
      <c r="F414" s="76" t="b">
        <v>0</v>
      </c>
      <c r="G414" s="76" t="b">
        <v>0</v>
      </c>
    </row>
    <row r="415" spans="1:7" ht="15">
      <c r="A415" s="73" t="s">
        <v>1557</v>
      </c>
      <c r="B415" s="76">
        <v>7</v>
      </c>
      <c r="C415" s="87">
        <v>0</v>
      </c>
      <c r="D415" s="76" t="s">
        <v>1464</v>
      </c>
      <c r="E415" s="76" t="b">
        <v>0</v>
      </c>
      <c r="F415" s="76" t="b">
        <v>0</v>
      </c>
      <c r="G415" s="76" t="b">
        <v>0</v>
      </c>
    </row>
    <row r="416" spans="1:7" ht="15">
      <c r="A416" s="73" t="s">
        <v>1558</v>
      </c>
      <c r="B416" s="76">
        <v>7</v>
      </c>
      <c r="C416" s="87">
        <v>0</v>
      </c>
      <c r="D416" s="76" t="s">
        <v>1464</v>
      </c>
      <c r="E416" s="76" t="b">
        <v>0</v>
      </c>
      <c r="F416" s="76" t="b">
        <v>0</v>
      </c>
      <c r="G416" s="76" t="b">
        <v>0</v>
      </c>
    </row>
    <row r="417" spans="1:7" ht="15">
      <c r="A417" s="73" t="s">
        <v>1559</v>
      </c>
      <c r="B417" s="76">
        <v>7</v>
      </c>
      <c r="C417" s="87">
        <v>0</v>
      </c>
      <c r="D417" s="76" t="s">
        <v>1464</v>
      </c>
      <c r="E417" s="76" t="b">
        <v>0</v>
      </c>
      <c r="F417" s="76" t="b">
        <v>0</v>
      </c>
      <c r="G417" s="76" t="b">
        <v>0</v>
      </c>
    </row>
    <row r="418" spans="1:7" ht="15">
      <c r="A418" s="73" t="s">
        <v>370</v>
      </c>
      <c r="B418" s="76">
        <v>7</v>
      </c>
      <c r="C418" s="87">
        <v>0</v>
      </c>
      <c r="D418" s="76" t="s">
        <v>1464</v>
      </c>
      <c r="E418" s="76" t="b">
        <v>0</v>
      </c>
      <c r="F418" s="76" t="b">
        <v>0</v>
      </c>
      <c r="G418" s="76" t="b">
        <v>0</v>
      </c>
    </row>
    <row r="419" spans="1:7" ht="15">
      <c r="A419" s="73" t="s">
        <v>360</v>
      </c>
      <c r="B419" s="76">
        <v>7</v>
      </c>
      <c r="C419" s="87">
        <v>0</v>
      </c>
      <c r="D419" s="76" t="s">
        <v>1464</v>
      </c>
      <c r="E419" s="76" t="b">
        <v>0</v>
      </c>
      <c r="F419" s="76" t="b">
        <v>0</v>
      </c>
      <c r="G419" s="76" t="b">
        <v>0</v>
      </c>
    </row>
    <row r="420" spans="1:7" ht="15">
      <c r="A420" s="73" t="s">
        <v>368</v>
      </c>
      <c r="B420" s="76">
        <v>7</v>
      </c>
      <c r="C420" s="87">
        <v>0</v>
      </c>
      <c r="D420" s="76" t="s">
        <v>1464</v>
      </c>
      <c r="E420" s="76" t="b">
        <v>0</v>
      </c>
      <c r="F420" s="76" t="b">
        <v>0</v>
      </c>
      <c r="G420" s="76" t="b">
        <v>0</v>
      </c>
    </row>
    <row r="421" spans="1:7" ht="15">
      <c r="A421" s="73" t="s">
        <v>1560</v>
      </c>
      <c r="B421" s="76">
        <v>7</v>
      </c>
      <c r="C421" s="87">
        <v>0</v>
      </c>
      <c r="D421" s="76" t="s">
        <v>1464</v>
      </c>
      <c r="E421" s="76" t="b">
        <v>0</v>
      </c>
      <c r="F421" s="76" t="b">
        <v>0</v>
      </c>
      <c r="G421" s="76" t="b">
        <v>0</v>
      </c>
    </row>
    <row r="422" spans="1:7" ht="15">
      <c r="A422" s="73" t="s">
        <v>1561</v>
      </c>
      <c r="B422" s="76">
        <v>7</v>
      </c>
      <c r="C422" s="87">
        <v>0</v>
      </c>
      <c r="D422" s="76" t="s">
        <v>1464</v>
      </c>
      <c r="E422" s="76" t="b">
        <v>0</v>
      </c>
      <c r="F422" s="76" t="b">
        <v>0</v>
      </c>
      <c r="G422" s="76" t="b">
        <v>0</v>
      </c>
    </row>
    <row r="423" spans="1:7" ht="15">
      <c r="A423" s="73" t="s">
        <v>363</v>
      </c>
      <c r="B423" s="76">
        <v>7</v>
      </c>
      <c r="C423" s="87">
        <v>0</v>
      </c>
      <c r="D423" s="76" t="s">
        <v>1464</v>
      </c>
      <c r="E423" s="76" t="b">
        <v>0</v>
      </c>
      <c r="F423" s="76" t="b">
        <v>0</v>
      </c>
      <c r="G423" s="76" t="b">
        <v>0</v>
      </c>
    </row>
    <row r="424" spans="1:7" ht="15">
      <c r="A424" s="73" t="s">
        <v>1583</v>
      </c>
      <c r="B424" s="76">
        <v>5</v>
      </c>
      <c r="C424" s="87">
        <v>0.006892831871615001</v>
      </c>
      <c r="D424" s="76" t="s">
        <v>1464</v>
      </c>
      <c r="E424" s="76" t="b">
        <v>0</v>
      </c>
      <c r="F424" s="76" t="b">
        <v>0</v>
      </c>
      <c r="G424" s="76" t="b">
        <v>0</v>
      </c>
    </row>
    <row r="425" spans="1:7" ht="15">
      <c r="A425" s="73" t="s">
        <v>1584</v>
      </c>
      <c r="B425" s="76">
        <v>5</v>
      </c>
      <c r="C425" s="87">
        <v>0.006892831871615001</v>
      </c>
      <c r="D425" s="76" t="s">
        <v>1464</v>
      </c>
      <c r="E425" s="76" t="b">
        <v>0</v>
      </c>
      <c r="F425" s="76" t="b">
        <v>0</v>
      </c>
      <c r="G425" s="76" t="b">
        <v>0</v>
      </c>
    </row>
    <row r="426" spans="1:7" ht="15">
      <c r="A426" s="73" t="s">
        <v>1585</v>
      </c>
      <c r="B426" s="76">
        <v>5</v>
      </c>
      <c r="C426" s="87">
        <v>0.006892831871615001</v>
      </c>
      <c r="D426" s="76" t="s">
        <v>1464</v>
      </c>
      <c r="E426" s="76" t="b">
        <v>0</v>
      </c>
      <c r="F426" s="76" t="b">
        <v>0</v>
      </c>
      <c r="G426" s="76" t="b">
        <v>0</v>
      </c>
    </row>
    <row r="427" spans="1:7" ht="15">
      <c r="A427" s="73" t="s">
        <v>1586</v>
      </c>
      <c r="B427" s="76">
        <v>5</v>
      </c>
      <c r="C427" s="87">
        <v>0.006892831871615001</v>
      </c>
      <c r="D427" s="76" t="s">
        <v>1464</v>
      </c>
      <c r="E427" s="76" t="b">
        <v>0</v>
      </c>
      <c r="F427" s="76" t="b">
        <v>0</v>
      </c>
      <c r="G427" s="76" t="b">
        <v>0</v>
      </c>
    </row>
    <row r="428" spans="1:7" ht="15">
      <c r="A428" s="73" t="s">
        <v>379</v>
      </c>
      <c r="B428" s="76">
        <v>5</v>
      </c>
      <c r="C428" s="87">
        <v>0.006892831871615001</v>
      </c>
      <c r="D428" s="76" t="s">
        <v>1464</v>
      </c>
      <c r="E428" s="76" t="b">
        <v>0</v>
      </c>
      <c r="F428" s="76" t="b">
        <v>0</v>
      </c>
      <c r="G428" s="76" t="b">
        <v>0</v>
      </c>
    </row>
    <row r="429" spans="1:7" ht="15">
      <c r="A429" s="73" t="s">
        <v>570</v>
      </c>
      <c r="B429" s="76">
        <v>5</v>
      </c>
      <c r="C429" s="87">
        <v>0.006892831871615001</v>
      </c>
      <c r="D429" s="76" t="s">
        <v>1464</v>
      </c>
      <c r="E429" s="76" t="b">
        <v>0</v>
      </c>
      <c r="F429" s="76" t="b">
        <v>0</v>
      </c>
      <c r="G429" s="76" t="b">
        <v>0</v>
      </c>
    </row>
    <row r="430" spans="1:7" ht="15">
      <c r="A430" s="73" t="s">
        <v>1492</v>
      </c>
      <c r="B430" s="76">
        <v>2</v>
      </c>
      <c r="C430" s="87">
        <v>0.010265434799061805</v>
      </c>
      <c r="D430" s="76" t="s">
        <v>1464</v>
      </c>
      <c r="E430" s="76" t="b">
        <v>0</v>
      </c>
      <c r="F430" s="76" t="b">
        <v>0</v>
      </c>
      <c r="G430" s="76" t="b">
        <v>0</v>
      </c>
    </row>
    <row r="431" spans="1:7" ht="15">
      <c r="A431" s="73" t="s">
        <v>1675</v>
      </c>
      <c r="B431" s="76">
        <v>2</v>
      </c>
      <c r="C431" s="87">
        <v>0.010265434799061805</v>
      </c>
      <c r="D431" s="76" t="s">
        <v>1464</v>
      </c>
      <c r="E431" s="76" t="b">
        <v>0</v>
      </c>
      <c r="F431" s="76" t="b">
        <v>0</v>
      </c>
      <c r="G431" s="76" t="b">
        <v>0</v>
      </c>
    </row>
    <row r="432" spans="1:7" ht="15">
      <c r="A432" s="73" t="s">
        <v>1491</v>
      </c>
      <c r="B432" s="76">
        <v>2</v>
      </c>
      <c r="C432" s="87">
        <v>0.010265434799061805</v>
      </c>
      <c r="D432" s="76" t="s">
        <v>1464</v>
      </c>
      <c r="E432" s="76" t="b">
        <v>0</v>
      </c>
      <c r="F432" s="76" t="b">
        <v>0</v>
      </c>
      <c r="G432" s="76" t="b">
        <v>0</v>
      </c>
    </row>
    <row r="433" spans="1:7" ht="15">
      <c r="A433" s="73" t="s">
        <v>1553</v>
      </c>
      <c r="B433" s="76">
        <v>6</v>
      </c>
      <c r="C433" s="87">
        <v>0</v>
      </c>
      <c r="D433" s="76" t="s">
        <v>1465</v>
      </c>
      <c r="E433" s="76" t="b">
        <v>0</v>
      </c>
      <c r="F433" s="76" t="b">
        <v>0</v>
      </c>
      <c r="G433" s="76" t="b">
        <v>0</v>
      </c>
    </row>
    <row r="434" spans="1:7" ht="15">
      <c r="A434" s="73" t="s">
        <v>1502</v>
      </c>
      <c r="B434" s="76">
        <v>3</v>
      </c>
      <c r="C434" s="87">
        <v>0</v>
      </c>
      <c r="D434" s="76" t="s">
        <v>1465</v>
      </c>
      <c r="E434" s="76" t="b">
        <v>1</v>
      </c>
      <c r="F434" s="76" t="b">
        <v>0</v>
      </c>
      <c r="G434" s="76" t="b">
        <v>0</v>
      </c>
    </row>
    <row r="435" spans="1:7" ht="15">
      <c r="A435" s="73" t="s">
        <v>363</v>
      </c>
      <c r="B435" s="76">
        <v>3</v>
      </c>
      <c r="C435" s="87">
        <v>0</v>
      </c>
      <c r="D435" s="76" t="s">
        <v>1465</v>
      </c>
      <c r="E435" s="76" t="b">
        <v>0</v>
      </c>
      <c r="F435" s="76" t="b">
        <v>0</v>
      </c>
      <c r="G435" s="76" t="b">
        <v>0</v>
      </c>
    </row>
    <row r="436" spans="1:7" ht="15">
      <c r="A436" s="73" t="s">
        <v>641</v>
      </c>
      <c r="B436" s="76">
        <v>3</v>
      </c>
      <c r="C436" s="87">
        <v>0</v>
      </c>
      <c r="D436" s="76" t="s">
        <v>1465</v>
      </c>
      <c r="E436" s="76" t="b">
        <v>0</v>
      </c>
      <c r="F436" s="76" t="b">
        <v>0</v>
      </c>
      <c r="G436" s="76" t="b">
        <v>0</v>
      </c>
    </row>
    <row r="437" spans="1:7" ht="15">
      <c r="A437" s="73" t="s">
        <v>1623</v>
      </c>
      <c r="B437" s="76">
        <v>3</v>
      </c>
      <c r="C437" s="87">
        <v>0</v>
      </c>
      <c r="D437" s="76" t="s">
        <v>1465</v>
      </c>
      <c r="E437" s="76" t="b">
        <v>0</v>
      </c>
      <c r="F437" s="76" t="b">
        <v>0</v>
      </c>
      <c r="G437" s="76" t="b">
        <v>0</v>
      </c>
    </row>
    <row r="438" spans="1:7" ht="15">
      <c r="A438" s="73" t="s">
        <v>640</v>
      </c>
      <c r="B438" s="76">
        <v>3</v>
      </c>
      <c r="C438" s="87">
        <v>0</v>
      </c>
      <c r="D438" s="76" t="s">
        <v>1465</v>
      </c>
      <c r="E438" s="76" t="b">
        <v>0</v>
      </c>
      <c r="F438" s="76" t="b">
        <v>0</v>
      </c>
      <c r="G438" s="76" t="b">
        <v>0</v>
      </c>
    </row>
    <row r="439" spans="1:7" ht="15">
      <c r="A439" s="73" t="s">
        <v>1624</v>
      </c>
      <c r="B439" s="76">
        <v>3</v>
      </c>
      <c r="C439" s="87">
        <v>0</v>
      </c>
      <c r="D439" s="76" t="s">
        <v>1465</v>
      </c>
      <c r="E439" s="76" t="b">
        <v>0</v>
      </c>
      <c r="F439" s="76" t="b">
        <v>0</v>
      </c>
      <c r="G439" s="76" t="b">
        <v>0</v>
      </c>
    </row>
    <row r="440" spans="1:7" ht="15">
      <c r="A440" s="73" t="s">
        <v>1500</v>
      </c>
      <c r="B440" s="76">
        <v>3</v>
      </c>
      <c r="C440" s="87">
        <v>0</v>
      </c>
      <c r="D440" s="76" t="s">
        <v>1465</v>
      </c>
      <c r="E440" s="76" t="b">
        <v>0</v>
      </c>
      <c r="F440" s="76" t="b">
        <v>0</v>
      </c>
      <c r="G440" s="76" t="b">
        <v>0</v>
      </c>
    </row>
    <row r="441" spans="1:7" ht="15">
      <c r="A441" s="73" t="s">
        <v>1625</v>
      </c>
      <c r="B441" s="76">
        <v>3</v>
      </c>
      <c r="C441" s="87">
        <v>0</v>
      </c>
      <c r="D441" s="76" t="s">
        <v>1465</v>
      </c>
      <c r="E441" s="76" t="b">
        <v>0</v>
      </c>
      <c r="F441" s="76" t="b">
        <v>0</v>
      </c>
      <c r="G441" s="76" t="b">
        <v>0</v>
      </c>
    </row>
    <row r="442" spans="1:7" ht="15">
      <c r="A442" s="73" t="s">
        <v>1551</v>
      </c>
      <c r="B442" s="76">
        <v>3</v>
      </c>
      <c r="C442" s="87">
        <v>0</v>
      </c>
      <c r="D442" s="76" t="s">
        <v>1465</v>
      </c>
      <c r="E442" s="76" t="b">
        <v>0</v>
      </c>
      <c r="F442" s="76" t="b">
        <v>0</v>
      </c>
      <c r="G442" s="76" t="b">
        <v>0</v>
      </c>
    </row>
    <row r="443" spans="1:7" ht="15">
      <c r="A443" s="73" t="s">
        <v>360</v>
      </c>
      <c r="B443" s="76">
        <v>3</v>
      </c>
      <c r="C443" s="87">
        <v>0</v>
      </c>
      <c r="D443" s="76" t="s">
        <v>1465</v>
      </c>
      <c r="E443" s="76" t="b">
        <v>0</v>
      </c>
      <c r="F443" s="76" t="b">
        <v>0</v>
      </c>
      <c r="G443" s="76" t="b">
        <v>0</v>
      </c>
    </row>
    <row r="444" spans="1:7" ht="15">
      <c r="A444" s="73" t="s">
        <v>362</v>
      </c>
      <c r="B444" s="76">
        <v>3</v>
      </c>
      <c r="C444" s="87">
        <v>0</v>
      </c>
      <c r="D444" s="76" t="s">
        <v>1465</v>
      </c>
      <c r="E444" s="76" t="b">
        <v>0</v>
      </c>
      <c r="F444" s="76" t="b">
        <v>0</v>
      </c>
      <c r="G444" s="76" t="b">
        <v>0</v>
      </c>
    </row>
    <row r="445" spans="1:7" ht="15">
      <c r="A445" s="73" t="s">
        <v>1626</v>
      </c>
      <c r="B445" s="76">
        <v>3</v>
      </c>
      <c r="C445" s="87">
        <v>0</v>
      </c>
      <c r="D445" s="76" t="s">
        <v>1465</v>
      </c>
      <c r="E445" s="76" t="b">
        <v>0</v>
      </c>
      <c r="F445" s="76" t="b">
        <v>0</v>
      </c>
      <c r="G445" s="76" t="b">
        <v>0</v>
      </c>
    </row>
    <row r="446" spans="1:7" ht="15">
      <c r="A446" s="73" t="s">
        <v>1627</v>
      </c>
      <c r="B446" s="76">
        <v>3</v>
      </c>
      <c r="C446" s="87">
        <v>0</v>
      </c>
      <c r="D446" s="76" t="s">
        <v>1465</v>
      </c>
      <c r="E446" s="76" t="b">
        <v>0</v>
      </c>
      <c r="F446" s="76" t="b">
        <v>0</v>
      </c>
      <c r="G446" s="76" t="b">
        <v>0</v>
      </c>
    </row>
    <row r="447" spans="1:7" ht="15">
      <c r="A447" s="73" t="s">
        <v>380</v>
      </c>
      <c r="B447" s="76">
        <v>2</v>
      </c>
      <c r="C447" s="87">
        <v>0</v>
      </c>
      <c r="D447" s="76" t="s">
        <v>1467</v>
      </c>
      <c r="E447" s="76" t="b">
        <v>0</v>
      </c>
      <c r="F447" s="76" t="b">
        <v>0</v>
      </c>
      <c r="G447" s="76" t="b">
        <v>0</v>
      </c>
    </row>
    <row r="448" spans="1:7" ht="15">
      <c r="A448" s="73" t="s">
        <v>364</v>
      </c>
      <c r="B448" s="76">
        <v>2</v>
      </c>
      <c r="C448" s="87">
        <v>0</v>
      </c>
      <c r="D448" s="76" t="s">
        <v>1467</v>
      </c>
      <c r="E448" s="76" t="b">
        <v>0</v>
      </c>
      <c r="F448" s="76" t="b">
        <v>0</v>
      </c>
      <c r="G448" s="76" t="b">
        <v>0</v>
      </c>
    </row>
    <row r="449" spans="1:7" ht="15">
      <c r="A449" s="73" t="s">
        <v>365</v>
      </c>
      <c r="B449" s="76">
        <v>2</v>
      </c>
      <c r="C449" s="87">
        <v>0</v>
      </c>
      <c r="D449" s="76" t="s">
        <v>1467</v>
      </c>
      <c r="E449" s="76" t="b">
        <v>0</v>
      </c>
      <c r="F449" s="76" t="b">
        <v>0</v>
      </c>
      <c r="G449" s="76" t="b">
        <v>0</v>
      </c>
    </row>
    <row r="450" spans="1:7" ht="15">
      <c r="A450" s="73" t="s">
        <v>366</v>
      </c>
      <c r="B450" s="76">
        <v>2</v>
      </c>
      <c r="C450" s="87">
        <v>0</v>
      </c>
      <c r="D450" s="76" t="s">
        <v>1467</v>
      </c>
      <c r="E450" s="76" t="b">
        <v>0</v>
      </c>
      <c r="F450" s="76" t="b">
        <v>1</v>
      </c>
      <c r="G450" s="76" t="b">
        <v>0</v>
      </c>
    </row>
    <row r="451" spans="1:7" ht="15">
      <c r="A451" s="73" t="s">
        <v>367</v>
      </c>
      <c r="B451" s="76">
        <v>2</v>
      </c>
      <c r="C451" s="87">
        <v>0</v>
      </c>
      <c r="D451" s="76" t="s">
        <v>1467</v>
      </c>
      <c r="E451" s="76" t="b">
        <v>0</v>
      </c>
      <c r="F451" s="76" t="b">
        <v>0</v>
      </c>
      <c r="G451" s="76" t="b">
        <v>0</v>
      </c>
    </row>
    <row r="452" spans="1:7" ht="15">
      <c r="A452" s="73" t="s">
        <v>368</v>
      </c>
      <c r="B452" s="76">
        <v>2</v>
      </c>
      <c r="C452" s="87">
        <v>0</v>
      </c>
      <c r="D452" s="76" t="s">
        <v>1467</v>
      </c>
      <c r="E452" s="76" t="b">
        <v>0</v>
      </c>
      <c r="F452" s="76" t="b">
        <v>0</v>
      </c>
      <c r="G452" s="76" t="b">
        <v>0</v>
      </c>
    </row>
    <row r="453" spans="1:7" ht="15">
      <c r="A453" s="73" t="s">
        <v>369</v>
      </c>
      <c r="B453" s="76">
        <v>2</v>
      </c>
      <c r="C453" s="87">
        <v>0</v>
      </c>
      <c r="D453" s="76" t="s">
        <v>1467</v>
      </c>
      <c r="E453" s="76" t="b">
        <v>0</v>
      </c>
      <c r="F453" s="76" t="b">
        <v>0</v>
      </c>
      <c r="G453" s="76" t="b">
        <v>0</v>
      </c>
    </row>
    <row r="454" spans="1:7" ht="15">
      <c r="A454" s="73" t="s">
        <v>370</v>
      </c>
      <c r="B454" s="76">
        <v>2</v>
      </c>
      <c r="C454" s="87">
        <v>0</v>
      </c>
      <c r="D454" s="76" t="s">
        <v>1467</v>
      </c>
      <c r="E454" s="76" t="b">
        <v>0</v>
      </c>
      <c r="F454" s="76" t="b">
        <v>0</v>
      </c>
      <c r="G454" s="76" t="b">
        <v>0</v>
      </c>
    </row>
    <row r="455" spans="1:7" ht="15">
      <c r="A455" s="73" t="s">
        <v>360</v>
      </c>
      <c r="B455" s="76">
        <v>2</v>
      </c>
      <c r="C455" s="87">
        <v>0</v>
      </c>
      <c r="D455" s="76" t="s">
        <v>1467</v>
      </c>
      <c r="E455" s="76" t="b">
        <v>0</v>
      </c>
      <c r="F455" s="76" t="b">
        <v>0</v>
      </c>
      <c r="G455" s="76" t="b">
        <v>0</v>
      </c>
    </row>
    <row r="456" spans="1:7" ht="15">
      <c r="A456" s="73" t="s">
        <v>371</v>
      </c>
      <c r="B456" s="76">
        <v>2</v>
      </c>
      <c r="C456" s="87">
        <v>0</v>
      </c>
      <c r="D456" s="76" t="s">
        <v>1467</v>
      </c>
      <c r="E456" s="76" t="b">
        <v>0</v>
      </c>
      <c r="F456" s="76" t="b">
        <v>0</v>
      </c>
      <c r="G456" s="76" t="b">
        <v>0</v>
      </c>
    </row>
    <row r="457" spans="1:7" ht="15">
      <c r="A457" s="73" t="s">
        <v>372</v>
      </c>
      <c r="B457" s="76">
        <v>2</v>
      </c>
      <c r="C457" s="87">
        <v>0</v>
      </c>
      <c r="D457" s="76" t="s">
        <v>1467</v>
      </c>
      <c r="E457" s="76" t="b">
        <v>0</v>
      </c>
      <c r="F457" s="76" t="b">
        <v>0</v>
      </c>
      <c r="G457" s="76" t="b">
        <v>0</v>
      </c>
    </row>
    <row r="458" spans="1:7" ht="15">
      <c r="A458" s="73" t="s">
        <v>361</v>
      </c>
      <c r="B458" s="76">
        <v>2</v>
      </c>
      <c r="C458" s="87">
        <v>0</v>
      </c>
      <c r="D458" s="76" t="s">
        <v>1467</v>
      </c>
      <c r="E458" s="76" t="b">
        <v>0</v>
      </c>
      <c r="F458" s="76" t="b">
        <v>0</v>
      </c>
      <c r="G458" s="76" t="b">
        <v>0</v>
      </c>
    </row>
    <row r="459" spans="1:7" ht="15">
      <c r="A459" s="73" t="s">
        <v>381</v>
      </c>
      <c r="B459" s="76">
        <v>2</v>
      </c>
      <c r="C459" s="87">
        <v>0</v>
      </c>
      <c r="D459" s="76" t="s">
        <v>1467</v>
      </c>
      <c r="E459" s="76" t="b">
        <v>0</v>
      </c>
      <c r="F459" s="76" t="b">
        <v>0</v>
      </c>
      <c r="G459" s="76" t="b">
        <v>0</v>
      </c>
    </row>
    <row r="460" spans="1:7" ht="15">
      <c r="A460" s="73" t="s">
        <v>362</v>
      </c>
      <c r="B460" s="76">
        <v>2</v>
      </c>
      <c r="C460" s="87">
        <v>0</v>
      </c>
      <c r="D460" s="76" t="s">
        <v>1467</v>
      </c>
      <c r="E460" s="76" t="b">
        <v>0</v>
      </c>
      <c r="F460" s="76" t="b">
        <v>0</v>
      </c>
      <c r="G460" s="76" t="b">
        <v>0</v>
      </c>
    </row>
    <row r="461" spans="1:7" ht="15">
      <c r="A461" s="73" t="s">
        <v>363</v>
      </c>
      <c r="B461" s="76">
        <v>2</v>
      </c>
      <c r="C461" s="87">
        <v>0</v>
      </c>
      <c r="D461" s="76" t="s">
        <v>1467</v>
      </c>
      <c r="E461" s="76" t="b">
        <v>0</v>
      </c>
      <c r="F461" s="76" t="b">
        <v>0</v>
      </c>
      <c r="G461" s="76" t="b">
        <v>0</v>
      </c>
    </row>
    <row r="462" spans="1:7" ht="15">
      <c r="A462" s="73" t="s">
        <v>373</v>
      </c>
      <c r="B462" s="76">
        <v>2</v>
      </c>
      <c r="C462" s="87">
        <v>0</v>
      </c>
      <c r="D462" s="76" t="s">
        <v>1467</v>
      </c>
      <c r="E462" s="76" t="b">
        <v>0</v>
      </c>
      <c r="F462" s="76" t="b">
        <v>0</v>
      </c>
      <c r="G462" s="76" t="b">
        <v>0</v>
      </c>
    </row>
    <row r="463" spans="1:7" ht="15">
      <c r="A463" s="73" t="s">
        <v>374</v>
      </c>
      <c r="B463" s="76">
        <v>2</v>
      </c>
      <c r="C463" s="87">
        <v>0</v>
      </c>
      <c r="D463" s="76" t="s">
        <v>1467</v>
      </c>
      <c r="E463" s="76" t="b">
        <v>0</v>
      </c>
      <c r="F463" s="76" t="b">
        <v>0</v>
      </c>
      <c r="G463" s="76" t="b">
        <v>0</v>
      </c>
    </row>
    <row r="464" spans="1:7" ht="15">
      <c r="A464" s="73" t="s">
        <v>375</v>
      </c>
      <c r="B464" s="76">
        <v>2</v>
      </c>
      <c r="C464" s="87">
        <v>0</v>
      </c>
      <c r="D464" s="76" t="s">
        <v>1467</v>
      </c>
      <c r="E464" s="76" t="b">
        <v>0</v>
      </c>
      <c r="F464" s="76" t="b">
        <v>0</v>
      </c>
      <c r="G464" s="76" t="b">
        <v>0</v>
      </c>
    </row>
    <row r="465" spans="1:7" ht="15">
      <c r="A465" s="73" t="s">
        <v>376</v>
      </c>
      <c r="B465" s="76">
        <v>2</v>
      </c>
      <c r="C465" s="87">
        <v>0</v>
      </c>
      <c r="D465" s="76" t="s">
        <v>1467</v>
      </c>
      <c r="E465" s="76" t="b">
        <v>0</v>
      </c>
      <c r="F465" s="76" t="b">
        <v>0</v>
      </c>
      <c r="G465" s="76" t="b">
        <v>0</v>
      </c>
    </row>
    <row r="466" spans="1:7" ht="15">
      <c r="A466" s="73" t="s">
        <v>377</v>
      </c>
      <c r="B466" s="76">
        <v>2</v>
      </c>
      <c r="C466" s="87">
        <v>0</v>
      </c>
      <c r="D466" s="76" t="s">
        <v>1467</v>
      </c>
      <c r="E466" s="76" t="b">
        <v>0</v>
      </c>
      <c r="F466" s="76" t="b">
        <v>0</v>
      </c>
      <c r="G466" s="76" t="b">
        <v>0</v>
      </c>
    </row>
    <row r="467" spans="1:7" ht="15">
      <c r="A467" s="73" t="s">
        <v>378</v>
      </c>
      <c r="B467" s="76">
        <v>2</v>
      </c>
      <c r="C467" s="87">
        <v>0</v>
      </c>
      <c r="D467" s="76" t="s">
        <v>1467</v>
      </c>
      <c r="E467" s="76" t="b">
        <v>0</v>
      </c>
      <c r="F467" s="76" t="b">
        <v>0</v>
      </c>
      <c r="G467" s="76" t="b">
        <v>0</v>
      </c>
    </row>
    <row r="468" spans="1:7" ht="15">
      <c r="A468" s="73" t="s">
        <v>261</v>
      </c>
      <c r="B468" s="76">
        <v>2</v>
      </c>
      <c r="C468" s="87">
        <v>0</v>
      </c>
      <c r="D468" s="76" t="s">
        <v>1467</v>
      </c>
      <c r="E468" s="76" t="b">
        <v>0</v>
      </c>
      <c r="F468" s="76" t="b">
        <v>0</v>
      </c>
      <c r="G468" s="76" t="b">
        <v>0</v>
      </c>
    </row>
    <row r="469" spans="1:7" ht="15">
      <c r="A469" s="73" t="s">
        <v>1640</v>
      </c>
      <c r="B469" s="76">
        <v>2</v>
      </c>
      <c r="C469" s="87">
        <v>0</v>
      </c>
      <c r="D469" s="76" t="s">
        <v>1468</v>
      </c>
      <c r="E469" s="76" t="b">
        <v>0</v>
      </c>
      <c r="F469" s="76" t="b">
        <v>0</v>
      </c>
      <c r="G469" s="76" t="b">
        <v>0</v>
      </c>
    </row>
    <row r="470" spans="1:7" ht="15">
      <c r="A470" s="73" t="s">
        <v>1641</v>
      </c>
      <c r="B470" s="76">
        <v>2</v>
      </c>
      <c r="C470" s="87">
        <v>0</v>
      </c>
      <c r="D470" s="76" t="s">
        <v>1468</v>
      </c>
      <c r="E470" s="76" t="b">
        <v>0</v>
      </c>
      <c r="F470" s="76" t="b">
        <v>0</v>
      </c>
      <c r="G470" s="76" t="b">
        <v>0</v>
      </c>
    </row>
    <row r="471" spans="1:7" ht="15">
      <c r="A471" s="73" t="s">
        <v>383</v>
      </c>
      <c r="B471" s="76">
        <v>2</v>
      </c>
      <c r="C471" s="87">
        <v>0</v>
      </c>
      <c r="D471" s="76" t="s">
        <v>1469</v>
      </c>
      <c r="E471" s="76" t="b">
        <v>0</v>
      </c>
      <c r="F471" s="76" t="b">
        <v>0</v>
      </c>
      <c r="G471" s="76" t="b">
        <v>0</v>
      </c>
    </row>
    <row r="472" spans="1:7" ht="15">
      <c r="A472" s="73" t="s">
        <v>1644</v>
      </c>
      <c r="B472" s="76">
        <v>2</v>
      </c>
      <c r="C472" s="87">
        <v>0</v>
      </c>
      <c r="D472" s="76" t="s">
        <v>1469</v>
      </c>
      <c r="E472" s="76" t="b">
        <v>0</v>
      </c>
      <c r="F472" s="76" t="b">
        <v>0</v>
      </c>
      <c r="G472" s="76" t="b">
        <v>0</v>
      </c>
    </row>
    <row r="473" spans="1:7" ht="15">
      <c r="A473" s="73" t="s">
        <v>1491</v>
      </c>
      <c r="B473" s="76">
        <v>2</v>
      </c>
      <c r="C473" s="87">
        <v>0</v>
      </c>
      <c r="D473" s="76" t="s">
        <v>1469</v>
      </c>
      <c r="E473" s="76" t="b">
        <v>0</v>
      </c>
      <c r="F473" s="76" t="b">
        <v>0</v>
      </c>
      <c r="G473" s="76" t="b">
        <v>0</v>
      </c>
    </row>
    <row r="474" spans="1:7" ht="15">
      <c r="A474" s="73" t="s">
        <v>1498</v>
      </c>
      <c r="B474" s="76">
        <v>2</v>
      </c>
      <c r="C474" s="87">
        <v>0</v>
      </c>
      <c r="D474" s="76" t="s">
        <v>1469</v>
      </c>
      <c r="E474" s="76" t="b">
        <v>0</v>
      </c>
      <c r="F474" s="76" t="b">
        <v>0</v>
      </c>
      <c r="G474" s="76" t="b">
        <v>0</v>
      </c>
    </row>
    <row r="475" spans="1:7" ht="15">
      <c r="A475" s="73" t="s">
        <v>1645</v>
      </c>
      <c r="B475" s="76">
        <v>2</v>
      </c>
      <c r="C475" s="87">
        <v>0</v>
      </c>
      <c r="D475" s="76" t="s">
        <v>1469</v>
      </c>
      <c r="E475" s="76" t="b">
        <v>0</v>
      </c>
      <c r="F475" s="76" t="b">
        <v>0</v>
      </c>
      <c r="G475" s="76" t="b">
        <v>0</v>
      </c>
    </row>
    <row r="476" spans="1:7" ht="15">
      <c r="A476" s="73" t="s">
        <v>360</v>
      </c>
      <c r="B476" s="76">
        <v>2</v>
      </c>
      <c r="C476" s="87">
        <v>0</v>
      </c>
      <c r="D476" s="76" t="s">
        <v>1469</v>
      </c>
      <c r="E476" s="76" t="b">
        <v>0</v>
      </c>
      <c r="F476" s="76" t="b">
        <v>0</v>
      </c>
      <c r="G476" s="76" t="b">
        <v>0</v>
      </c>
    </row>
    <row r="477" spans="1:7" ht="15">
      <c r="A477" s="73" t="s">
        <v>362</v>
      </c>
      <c r="B477" s="76">
        <v>2</v>
      </c>
      <c r="C477" s="87">
        <v>0</v>
      </c>
      <c r="D477" s="76" t="s">
        <v>1469</v>
      </c>
      <c r="E477" s="76" t="b">
        <v>0</v>
      </c>
      <c r="F477" s="76" t="b">
        <v>0</v>
      </c>
      <c r="G477" s="76" t="b">
        <v>0</v>
      </c>
    </row>
    <row r="478" spans="1:7" ht="15">
      <c r="A478" s="73" t="s">
        <v>363</v>
      </c>
      <c r="B478" s="76">
        <v>2</v>
      </c>
      <c r="C478" s="87">
        <v>0</v>
      </c>
      <c r="D478" s="76" t="s">
        <v>1469</v>
      </c>
      <c r="E478" s="76" t="b">
        <v>0</v>
      </c>
      <c r="F478" s="76" t="b">
        <v>0</v>
      </c>
      <c r="G478" s="76" t="b">
        <v>0</v>
      </c>
    </row>
    <row r="479" spans="1:7" ht="15">
      <c r="A479" s="73" t="s">
        <v>1646</v>
      </c>
      <c r="B479" s="76">
        <v>2</v>
      </c>
      <c r="C479" s="87">
        <v>0</v>
      </c>
      <c r="D479" s="76" t="s">
        <v>1469</v>
      </c>
      <c r="E479" s="76" t="b">
        <v>0</v>
      </c>
      <c r="F479" s="76" t="b">
        <v>0</v>
      </c>
      <c r="G479" s="76" t="b">
        <v>0</v>
      </c>
    </row>
    <row r="480" spans="1:7" ht="15">
      <c r="A480" s="73" t="s">
        <v>1647</v>
      </c>
      <c r="B480" s="76">
        <v>2</v>
      </c>
      <c r="C480" s="87">
        <v>0</v>
      </c>
      <c r="D480" s="76" t="s">
        <v>1469</v>
      </c>
      <c r="E480" s="76" t="b">
        <v>0</v>
      </c>
      <c r="F480" s="76" t="b">
        <v>0</v>
      </c>
      <c r="G480" s="76" t="b">
        <v>0</v>
      </c>
    </row>
    <row r="481" spans="1:7" ht="15">
      <c r="A481" s="73" t="s">
        <v>1648</v>
      </c>
      <c r="B481" s="76">
        <v>2</v>
      </c>
      <c r="C481" s="87">
        <v>0</v>
      </c>
      <c r="D481" s="76" t="s">
        <v>1469</v>
      </c>
      <c r="E481" s="76" t="b">
        <v>0</v>
      </c>
      <c r="F481" s="76" t="b">
        <v>0</v>
      </c>
      <c r="G481" s="76" t="b">
        <v>0</v>
      </c>
    </row>
    <row r="482" spans="1:7" ht="15">
      <c r="A482" s="73" t="s">
        <v>1604</v>
      </c>
      <c r="B482" s="76">
        <v>2</v>
      </c>
      <c r="C482" s="87">
        <v>0</v>
      </c>
      <c r="D482" s="76" t="s">
        <v>1469</v>
      </c>
      <c r="E482" s="76" t="b">
        <v>0</v>
      </c>
      <c r="F482" s="76" t="b">
        <v>0</v>
      </c>
      <c r="G482" s="76" t="b">
        <v>0</v>
      </c>
    </row>
    <row r="483" spans="1:7" ht="15">
      <c r="A483" s="73" t="s">
        <v>649</v>
      </c>
      <c r="B483" s="76">
        <v>2</v>
      </c>
      <c r="C483" s="87">
        <v>0</v>
      </c>
      <c r="D483" s="76" t="s">
        <v>1469</v>
      </c>
      <c r="E483" s="76" t="b">
        <v>0</v>
      </c>
      <c r="F483" s="76" t="b">
        <v>0</v>
      </c>
      <c r="G483" s="76" t="b">
        <v>0</v>
      </c>
    </row>
    <row r="484" spans="1:7" ht="15">
      <c r="A484" s="73" t="s">
        <v>361</v>
      </c>
      <c r="B484" s="76">
        <v>3</v>
      </c>
      <c r="C484" s="87">
        <v>0</v>
      </c>
      <c r="D484" s="76" t="s">
        <v>1470</v>
      </c>
      <c r="E484" s="76" t="b">
        <v>0</v>
      </c>
      <c r="F484" s="76" t="b">
        <v>0</v>
      </c>
      <c r="G484" s="76" t="b">
        <v>0</v>
      </c>
    </row>
    <row r="485" spans="1:7" ht="15">
      <c r="A485" s="73" t="s">
        <v>1606</v>
      </c>
      <c r="B485" s="76">
        <v>3</v>
      </c>
      <c r="C485" s="87">
        <v>0</v>
      </c>
      <c r="D485" s="76" t="s">
        <v>1470</v>
      </c>
      <c r="E485" s="76" t="b">
        <v>0</v>
      </c>
      <c r="F485" s="76" t="b">
        <v>0</v>
      </c>
      <c r="G485" s="76" t="b">
        <v>0</v>
      </c>
    </row>
    <row r="486" spans="1:7" ht="15">
      <c r="A486" s="73" t="s">
        <v>1607</v>
      </c>
      <c r="B486" s="76">
        <v>3</v>
      </c>
      <c r="C486" s="87">
        <v>0</v>
      </c>
      <c r="D486" s="76" t="s">
        <v>1470</v>
      </c>
      <c r="E486" s="76" t="b">
        <v>0</v>
      </c>
      <c r="F486" s="76" t="b">
        <v>0</v>
      </c>
      <c r="G486" s="76" t="b">
        <v>0</v>
      </c>
    </row>
    <row r="487" spans="1:7" ht="15">
      <c r="A487" s="73" t="s">
        <v>1608</v>
      </c>
      <c r="B487" s="76">
        <v>3</v>
      </c>
      <c r="C487" s="87">
        <v>0</v>
      </c>
      <c r="D487" s="76" t="s">
        <v>1470</v>
      </c>
      <c r="E487" s="76" t="b">
        <v>0</v>
      </c>
      <c r="F487" s="76" t="b">
        <v>0</v>
      </c>
      <c r="G487" s="76" t="b">
        <v>0</v>
      </c>
    </row>
    <row r="488" spans="1:7" ht="15">
      <c r="A488" s="73" t="s">
        <v>1609</v>
      </c>
      <c r="B488" s="76">
        <v>3</v>
      </c>
      <c r="C488" s="87">
        <v>0</v>
      </c>
      <c r="D488" s="76" t="s">
        <v>1470</v>
      </c>
      <c r="E488" s="76" t="b">
        <v>0</v>
      </c>
      <c r="F488" s="76" t="b">
        <v>0</v>
      </c>
      <c r="G488" s="76" t="b">
        <v>0</v>
      </c>
    </row>
    <row r="489" spans="1:7" ht="15">
      <c r="A489" s="73" t="s">
        <v>1589</v>
      </c>
      <c r="B489" s="76">
        <v>3</v>
      </c>
      <c r="C489" s="87">
        <v>0</v>
      </c>
      <c r="D489" s="76" t="s">
        <v>1470</v>
      </c>
      <c r="E489" s="76" t="b">
        <v>0</v>
      </c>
      <c r="F489" s="76" t="b">
        <v>0</v>
      </c>
      <c r="G489" s="76" t="b">
        <v>0</v>
      </c>
    </row>
    <row r="490" spans="1:7" ht="15">
      <c r="A490" s="73" t="s">
        <v>1610</v>
      </c>
      <c r="B490" s="76">
        <v>3</v>
      </c>
      <c r="C490" s="87">
        <v>0</v>
      </c>
      <c r="D490" s="76" t="s">
        <v>1470</v>
      </c>
      <c r="E490" s="76" t="b">
        <v>0</v>
      </c>
      <c r="F490" s="76" t="b">
        <v>0</v>
      </c>
      <c r="G490" s="76" t="b">
        <v>0</v>
      </c>
    </row>
    <row r="491" spans="1:7" ht="15">
      <c r="A491" s="73" t="s">
        <v>379</v>
      </c>
      <c r="B491" s="76">
        <v>3</v>
      </c>
      <c r="C491" s="87">
        <v>0</v>
      </c>
      <c r="D491" s="76" t="s">
        <v>1470</v>
      </c>
      <c r="E491" s="76" t="b">
        <v>0</v>
      </c>
      <c r="F491" s="76" t="b">
        <v>0</v>
      </c>
      <c r="G491" s="76" t="b">
        <v>0</v>
      </c>
    </row>
    <row r="492" spans="1:7" ht="15">
      <c r="A492" s="73" t="s">
        <v>362</v>
      </c>
      <c r="B492" s="76">
        <v>3</v>
      </c>
      <c r="C492" s="87">
        <v>0</v>
      </c>
      <c r="D492" s="76" t="s">
        <v>1470</v>
      </c>
      <c r="E492" s="76" t="b">
        <v>0</v>
      </c>
      <c r="F492" s="76" t="b">
        <v>0</v>
      </c>
      <c r="G492" s="76" t="b">
        <v>0</v>
      </c>
    </row>
    <row r="493" spans="1:7" ht="15">
      <c r="A493" s="73" t="s">
        <v>363</v>
      </c>
      <c r="B493" s="76">
        <v>3</v>
      </c>
      <c r="C493" s="87">
        <v>0</v>
      </c>
      <c r="D493" s="76" t="s">
        <v>1470</v>
      </c>
      <c r="E493" s="76" t="b">
        <v>0</v>
      </c>
      <c r="F493" s="76" t="b">
        <v>0</v>
      </c>
      <c r="G493" s="76" t="b">
        <v>0</v>
      </c>
    </row>
    <row r="494" spans="1:7" ht="15">
      <c r="A494" s="73" t="s">
        <v>1611</v>
      </c>
      <c r="B494" s="76">
        <v>3</v>
      </c>
      <c r="C494" s="87">
        <v>0</v>
      </c>
      <c r="D494" s="76" t="s">
        <v>1470</v>
      </c>
      <c r="E494" s="76" t="b">
        <v>0</v>
      </c>
      <c r="F494" s="76" t="b">
        <v>0</v>
      </c>
      <c r="G494" s="76" t="b">
        <v>0</v>
      </c>
    </row>
    <row r="495" spans="1:7" ht="15">
      <c r="A495" s="73" t="s">
        <v>1612</v>
      </c>
      <c r="B495" s="76">
        <v>3</v>
      </c>
      <c r="C495" s="87">
        <v>0</v>
      </c>
      <c r="D495" s="76" t="s">
        <v>1470</v>
      </c>
      <c r="E495" s="76" t="b">
        <v>0</v>
      </c>
      <c r="F495" s="76" t="b">
        <v>0</v>
      </c>
      <c r="G495" s="76" t="b">
        <v>0</v>
      </c>
    </row>
    <row r="496" spans="1:7" ht="15">
      <c r="A496" s="73" t="s">
        <v>1512</v>
      </c>
      <c r="B496" s="76">
        <v>3</v>
      </c>
      <c r="C496" s="87">
        <v>0</v>
      </c>
      <c r="D496" s="76" t="s">
        <v>1470</v>
      </c>
      <c r="E496" s="76" t="b">
        <v>0</v>
      </c>
      <c r="F496" s="76" t="b">
        <v>0</v>
      </c>
      <c r="G496" s="76" t="b">
        <v>0</v>
      </c>
    </row>
    <row r="497" spans="1:7" ht="15">
      <c r="A497" s="73" t="s">
        <v>1613</v>
      </c>
      <c r="B497" s="76">
        <v>3</v>
      </c>
      <c r="C497" s="87">
        <v>0</v>
      </c>
      <c r="D497" s="76" t="s">
        <v>1470</v>
      </c>
      <c r="E497" s="76" t="b">
        <v>0</v>
      </c>
      <c r="F497" s="76" t="b">
        <v>0</v>
      </c>
      <c r="G497" s="76" t="b">
        <v>0</v>
      </c>
    </row>
    <row r="498" spans="1:7" ht="15">
      <c r="A498" s="73" t="s">
        <v>1614</v>
      </c>
      <c r="B498" s="76">
        <v>3</v>
      </c>
      <c r="C498" s="87">
        <v>0</v>
      </c>
      <c r="D498" s="76" t="s">
        <v>1470</v>
      </c>
      <c r="E498" s="76" t="b">
        <v>0</v>
      </c>
      <c r="F498" s="76" t="b">
        <v>0</v>
      </c>
      <c r="G498" s="76" t="b">
        <v>0</v>
      </c>
    </row>
    <row r="499" spans="1:7" ht="15">
      <c r="A499" s="73" t="s">
        <v>1615</v>
      </c>
      <c r="B499" s="76">
        <v>3</v>
      </c>
      <c r="C499" s="87">
        <v>0</v>
      </c>
      <c r="D499" s="76" t="s">
        <v>1470</v>
      </c>
      <c r="E499" s="76" t="b">
        <v>0</v>
      </c>
      <c r="F499" s="76" t="b">
        <v>0</v>
      </c>
      <c r="G499" s="76" t="b">
        <v>0</v>
      </c>
    </row>
    <row r="500" spans="1:7" ht="15">
      <c r="A500" s="73" t="s">
        <v>1550</v>
      </c>
      <c r="B500" s="76">
        <v>3</v>
      </c>
      <c r="C500" s="87">
        <v>0</v>
      </c>
      <c r="D500" s="76" t="s">
        <v>1470</v>
      </c>
      <c r="E500" s="76" t="b">
        <v>0</v>
      </c>
      <c r="F500" s="76" t="b">
        <v>0</v>
      </c>
      <c r="G500" s="76" t="b">
        <v>0</v>
      </c>
    </row>
    <row r="501" spans="1:7" ht="15">
      <c r="A501" s="73" t="s">
        <v>1500</v>
      </c>
      <c r="B501" s="76">
        <v>3</v>
      </c>
      <c r="C501" s="87">
        <v>0</v>
      </c>
      <c r="D501" s="76" t="s">
        <v>1470</v>
      </c>
      <c r="E501" s="76" t="b">
        <v>0</v>
      </c>
      <c r="F501" s="76" t="b">
        <v>0</v>
      </c>
      <c r="G501" s="76" t="b">
        <v>0</v>
      </c>
    </row>
    <row r="502" spans="1:7" ht="15">
      <c r="A502" s="73" t="s">
        <v>1616</v>
      </c>
      <c r="B502" s="76">
        <v>3</v>
      </c>
      <c r="C502" s="87">
        <v>0</v>
      </c>
      <c r="D502" s="76" t="s">
        <v>1470</v>
      </c>
      <c r="E502" s="76" t="b">
        <v>0</v>
      </c>
      <c r="F502" s="76" t="b">
        <v>0</v>
      </c>
      <c r="G502" s="76" t="b">
        <v>0</v>
      </c>
    </row>
    <row r="503" spans="1:7" ht="15">
      <c r="A503" s="73" t="s">
        <v>1617</v>
      </c>
      <c r="B503" s="76">
        <v>3</v>
      </c>
      <c r="C503" s="87">
        <v>0</v>
      </c>
      <c r="D503" s="76" t="s">
        <v>1470</v>
      </c>
      <c r="E503" s="76" t="b">
        <v>0</v>
      </c>
      <c r="F503" s="76" t="b">
        <v>0</v>
      </c>
      <c r="G503" s="76" t="b">
        <v>0</v>
      </c>
    </row>
    <row r="504" spans="1:7" ht="15">
      <c r="A504" s="73" t="s">
        <v>1618</v>
      </c>
      <c r="B504" s="76">
        <v>3</v>
      </c>
      <c r="C504" s="87">
        <v>0</v>
      </c>
      <c r="D504" s="76" t="s">
        <v>1470</v>
      </c>
      <c r="E504" s="76" t="b">
        <v>0</v>
      </c>
      <c r="F504" s="76" t="b">
        <v>0</v>
      </c>
      <c r="G504" s="76" t="b">
        <v>0</v>
      </c>
    </row>
    <row r="505" spans="1:7" ht="15">
      <c r="A505" s="73" t="s">
        <v>1619</v>
      </c>
      <c r="B505" s="76">
        <v>3</v>
      </c>
      <c r="C505" s="87">
        <v>0</v>
      </c>
      <c r="D505" s="76" t="s">
        <v>1470</v>
      </c>
      <c r="E505" s="76" t="b">
        <v>0</v>
      </c>
      <c r="F505" s="76" t="b">
        <v>0</v>
      </c>
      <c r="G505" s="76" t="b">
        <v>0</v>
      </c>
    </row>
    <row r="506" spans="1:7" ht="15">
      <c r="A506" s="73" t="s">
        <v>1620</v>
      </c>
      <c r="B506" s="76">
        <v>3</v>
      </c>
      <c r="C506" s="87">
        <v>0</v>
      </c>
      <c r="D506" s="76" t="s">
        <v>1470</v>
      </c>
      <c r="E506" s="76" t="b">
        <v>0</v>
      </c>
      <c r="F506" s="76" t="b">
        <v>0</v>
      </c>
      <c r="G506" s="76" t="b">
        <v>0</v>
      </c>
    </row>
    <row r="507" spans="1:7" ht="15">
      <c r="A507" s="73" t="s">
        <v>1599</v>
      </c>
      <c r="B507" s="76">
        <v>4</v>
      </c>
      <c r="C507" s="87">
        <v>0</v>
      </c>
      <c r="D507" s="76" t="s">
        <v>1471</v>
      </c>
      <c r="E507" s="76" t="b">
        <v>0</v>
      </c>
      <c r="F507" s="76" t="b">
        <v>0</v>
      </c>
      <c r="G507" s="76" t="b">
        <v>0</v>
      </c>
    </row>
    <row r="508" spans="1:7" ht="15">
      <c r="A508" s="73" t="s">
        <v>1504</v>
      </c>
      <c r="B508" s="76">
        <v>2</v>
      </c>
      <c r="C508" s="87">
        <v>0</v>
      </c>
      <c r="D508" s="76" t="s">
        <v>1471</v>
      </c>
      <c r="E508" s="76" t="b">
        <v>0</v>
      </c>
      <c r="F508" s="76" t="b">
        <v>0</v>
      </c>
      <c r="G508" s="76" t="b">
        <v>0</v>
      </c>
    </row>
    <row r="509" spans="1:7" ht="15">
      <c r="A509" s="73" t="s">
        <v>1684</v>
      </c>
      <c r="B509" s="76">
        <v>2</v>
      </c>
      <c r="C509" s="87">
        <v>0</v>
      </c>
      <c r="D509" s="76" t="s">
        <v>1471</v>
      </c>
      <c r="E509" s="76" t="b">
        <v>0</v>
      </c>
      <c r="F509" s="76" t="b">
        <v>0</v>
      </c>
      <c r="G509" s="76" t="b">
        <v>0</v>
      </c>
    </row>
    <row r="510" spans="1:7" ht="15">
      <c r="A510" s="73" t="s">
        <v>1685</v>
      </c>
      <c r="B510" s="76">
        <v>2</v>
      </c>
      <c r="C510" s="87">
        <v>0</v>
      </c>
      <c r="D510" s="76" t="s">
        <v>1471</v>
      </c>
      <c r="E510" s="76" t="b">
        <v>0</v>
      </c>
      <c r="F510" s="76" t="b">
        <v>0</v>
      </c>
      <c r="G510" s="76" t="b">
        <v>0</v>
      </c>
    </row>
    <row r="511" spans="1:7" ht="15">
      <c r="A511" s="73" t="s">
        <v>1686</v>
      </c>
      <c r="B511" s="76">
        <v>2</v>
      </c>
      <c r="C511" s="87">
        <v>0</v>
      </c>
      <c r="D511" s="76" t="s">
        <v>1471</v>
      </c>
      <c r="E511" s="76" t="b">
        <v>0</v>
      </c>
      <c r="F511" s="76" t="b">
        <v>0</v>
      </c>
      <c r="G511" s="76" t="b">
        <v>0</v>
      </c>
    </row>
    <row r="512" spans="1:7" ht="15">
      <c r="A512" s="73" t="s">
        <v>1687</v>
      </c>
      <c r="B512" s="76">
        <v>2</v>
      </c>
      <c r="C512" s="87">
        <v>0</v>
      </c>
      <c r="D512" s="76" t="s">
        <v>1471</v>
      </c>
      <c r="E512" s="76" t="b">
        <v>0</v>
      </c>
      <c r="F512" s="76" t="b">
        <v>0</v>
      </c>
      <c r="G512" s="76" t="b">
        <v>0</v>
      </c>
    </row>
    <row r="513" spans="1:7" ht="15">
      <c r="A513" s="73" t="s">
        <v>1501</v>
      </c>
      <c r="B513" s="76">
        <v>2</v>
      </c>
      <c r="C513" s="87">
        <v>0</v>
      </c>
      <c r="D513" s="76" t="s">
        <v>1471</v>
      </c>
      <c r="E513" s="76" t="b">
        <v>0</v>
      </c>
      <c r="F513" s="76" t="b">
        <v>0</v>
      </c>
      <c r="G513" s="76" t="b">
        <v>0</v>
      </c>
    </row>
    <row r="514" spans="1:7" ht="15">
      <c r="A514" s="73" t="s">
        <v>1688</v>
      </c>
      <c r="B514" s="76">
        <v>2</v>
      </c>
      <c r="C514" s="87">
        <v>0</v>
      </c>
      <c r="D514" s="76" t="s">
        <v>1471</v>
      </c>
      <c r="E514" s="76" t="b">
        <v>0</v>
      </c>
      <c r="F514" s="76" t="b">
        <v>0</v>
      </c>
      <c r="G514" s="76" t="b">
        <v>0</v>
      </c>
    </row>
    <row r="515" spans="1:7" ht="15">
      <c r="A515" s="73" t="s">
        <v>1689</v>
      </c>
      <c r="B515" s="76">
        <v>2</v>
      </c>
      <c r="C515" s="87">
        <v>0</v>
      </c>
      <c r="D515" s="76" t="s">
        <v>1471</v>
      </c>
      <c r="E515" s="76" t="b">
        <v>0</v>
      </c>
      <c r="F515" s="76" t="b">
        <v>0</v>
      </c>
      <c r="G515" s="76" t="b">
        <v>0</v>
      </c>
    </row>
    <row r="516" spans="1:7" ht="15">
      <c r="A516" s="73" t="s">
        <v>383</v>
      </c>
      <c r="B516" s="76">
        <v>2</v>
      </c>
      <c r="C516" s="87">
        <v>0</v>
      </c>
      <c r="D516" s="76" t="s">
        <v>1471</v>
      </c>
      <c r="E516" s="76" t="b">
        <v>0</v>
      </c>
      <c r="F516" s="76" t="b">
        <v>0</v>
      </c>
      <c r="G516" s="76" t="b">
        <v>0</v>
      </c>
    </row>
    <row r="517" spans="1:7" ht="15">
      <c r="A517" s="73" t="s">
        <v>1690</v>
      </c>
      <c r="B517" s="76">
        <v>2</v>
      </c>
      <c r="C517" s="87">
        <v>0</v>
      </c>
      <c r="D517" s="76" t="s">
        <v>1471</v>
      </c>
      <c r="E517" s="76" t="b">
        <v>0</v>
      </c>
      <c r="F517" s="76" t="b">
        <v>0</v>
      </c>
      <c r="G517" s="76" t="b">
        <v>0</v>
      </c>
    </row>
    <row r="518" spans="1:7" ht="15">
      <c r="A518" s="73" t="s">
        <v>1691</v>
      </c>
      <c r="B518" s="76">
        <v>2</v>
      </c>
      <c r="C518" s="87">
        <v>0</v>
      </c>
      <c r="D518" s="76" t="s">
        <v>1471</v>
      </c>
      <c r="E518" s="76" t="b">
        <v>1</v>
      </c>
      <c r="F518" s="76" t="b">
        <v>0</v>
      </c>
      <c r="G518" s="76" t="b">
        <v>0</v>
      </c>
    </row>
    <row r="519" spans="1:7" ht="15">
      <c r="A519" s="73" t="s">
        <v>1692</v>
      </c>
      <c r="B519" s="76">
        <v>2</v>
      </c>
      <c r="C519" s="87">
        <v>0</v>
      </c>
      <c r="D519" s="76" t="s">
        <v>1471</v>
      </c>
      <c r="E519" s="76" t="b">
        <v>0</v>
      </c>
      <c r="F519" s="76" t="b">
        <v>0</v>
      </c>
      <c r="G519" s="76" t="b">
        <v>0</v>
      </c>
    </row>
    <row r="520" spans="1:7" ht="15">
      <c r="A520" s="73" t="s">
        <v>360</v>
      </c>
      <c r="B520" s="76">
        <v>2</v>
      </c>
      <c r="C520" s="87">
        <v>0</v>
      </c>
      <c r="D520" s="76" t="s">
        <v>1471</v>
      </c>
      <c r="E520" s="76" t="b">
        <v>0</v>
      </c>
      <c r="F520" s="76" t="b">
        <v>0</v>
      </c>
      <c r="G520" s="76" t="b">
        <v>0</v>
      </c>
    </row>
    <row r="521" spans="1:7" ht="15">
      <c r="A521" s="73" t="s">
        <v>362</v>
      </c>
      <c r="B521" s="76">
        <v>2</v>
      </c>
      <c r="C521" s="87">
        <v>0</v>
      </c>
      <c r="D521" s="76" t="s">
        <v>1471</v>
      </c>
      <c r="E521" s="76" t="b">
        <v>0</v>
      </c>
      <c r="F521" s="76" t="b">
        <v>0</v>
      </c>
      <c r="G521" s="76" t="b">
        <v>0</v>
      </c>
    </row>
    <row r="522" spans="1:7" ht="15">
      <c r="A522" s="73" t="s">
        <v>363</v>
      </c>
      <c r="B522" s="76">
        <v>2</v>
      </c>
      <c r="C522" s="87">
        <v>0</v>
      </c>
      <c r="D522" s="76" t="s">
        <v>1471</v>
      </c>
      <c r="E522" s="76" t="b">
        <v>0</v>
      </c>
      <c r="F522" s="76" t="b">
        <v>0</v>
      </c>
      <c r="G522" s="76" t="b">
        <v>0</v>
      </c>
    </row>
    <row r="523" spans="1:7" ht="15">
      <c r="A523" s="73" t="s">
        <v>638</v>
      </c>
      <c r="B523" s="76">
        <v>2</v>
      </c>
      <c r="C523" s="87">
        <v>0</v>
      </c>
      <c r="D523" s="76" t="s">
        <v>1471</v>
      </c>
      <c r="E523" s="76" t="b">
        <v>0</v>
      </c>
      <c r="F523" s="76" t="b">
        <v>0</v>
      </c>
      <c r="G523" s="76" t="b">
        <v>0</v>
      </c>
    </row>
    <row r="524" spans="1:7" ht="15">
      <c r="A524" s="73" t="s">
        <v>1693</v>
      </c>
      <c r="B524" s="76">
        <v>2</v>
      </c>
      <c r="C524" s="87">
        <v>0</v>
      </c>
      <c r="D524" s="76" t="s">
        <v>1471</v>
      </c>
      <c r="E524" s="76" t="b">
        <v>0</v>
      </c>
      <c r="F524" s="76" t="b">
        <v>0</v>
      </c>
      <c r="G524" s="76" t="b">
        <v>0</v>
      </c>
    </row>
    <row r="525" spans="1:7" ht="15">
      <c r="A525" s="73" t="s">
        <v>1694</v>
      </c>
      <c r="B525" s="76">
        <v>2</v>
      </c>
      <c r="C525" s="87">
        <v>0</v>
      </c>
      <c r="D525" s="76" t="s">
        <v>1471</v>
      </c>
      <c r="E525" s="76" t="b">
        <v>0</v>
      </c>
      <c r="F525" s="76" t="b">
        <v>0</v>
      </c>
      <c r="G525" s="76" t="b">
        <v>0</v>
      </c>
    </row>
    <row r="526" spans="1:7" ht="15">
      <c r="A526" s="73" t="s">
        <v>1498</v>
      </c>
      <c r="B526" s="76">
        <v>2</v>
      </c>
      <c r="C526" s="87">
        <v>0</v>
      </c>
      <c r="D526" s="76" t="s">
        <v>1471</v>
      </c>
      <c r="E526" s="76" t="b">
        <v>0</v>
      </c>
      <c r="F526" s="76" t="b">
        <v>0</v>
      </c>
      <c r="G526" s="76" t="b">
        <v>0</v>
      </c>
    </row>
    <row r="527" spans="1:7" ht="15">
      <c r="A527" s="73" t="s">
        <v>359</v>
      </c>
      <c r="B527" s="76">
        <v>14</v>
      </c>
      <c r="C527" s="87">
        <v>0</v>
      </c>
      <c r="D527" s="76" t="s">
        <v>1473</v>
      </c>
      <c r="E527" s="76" t="b">
        <v>0</v>
      </c>
      <c r="F527" s="76" t="b">
        <v>0</v>
      </c>
      <c r="G527" s="76" t="b">
        <v>0</v>
      </c>
    </row>
    <row r="528" spans="1:7" ht="15">
      <c r="A528" s="73" t="s">
        <v>383</v>
      </c>
      <c r="B528" s="76">
        <v>2</v>
      </c>
      <c r="C528" s="87">
        <v>0</v>
      </c>
      <c r="D528" s="76" t="s">
        <v>1473</v>
      </c>
      <c r="E528" s="76" t="b">
        <v>0</v>
      </c>
      <c r="F528" s="76" t="b">
        <v>0</v>
      </c>
      <c r="G528" s="76" t="b">
        <v>0</v>
      </c>
    </row>
    <row r="529" spans="1:7" ht="15">
      <c r="A529" s="73" t="s">
        <v>364</v>
      </c>
      <c r="B529" s="76">
        <v>2</v>
      </c>
      <c r="C529" s="87">
        <v>0</v>
      </c>
      <c r="D529" s="76" t="s">
        <v>1473</v>
      </c>
      <c r="E529" s="76" t="b">
        <v>0</v>
      </c>
      <c r="F529" s="76" t="b">
        <v>0</v>
      </c>
      <c r="G529" s="76" t="b">
        <v>0</v>
      </c>
    </row>
    <row r="530" spans="1:7" ht="15">
      <c r="A530" s="73" t="s">
        <v>365</v>
      </c>
      <c r="B530" s="76">
        <v>2</v>
      </c>
      <c r="C530" s="87">
        <v>0</v>
      </c>
      <c r="D530" s="76" t="s">
        <v>1473</v>
      </c>
      <c r="E530" s="76" t="b">
        <v>0</v>
      </c>
      <c r="F530" s="76" t="b">
        <v>0</v>
      </c>
      <c r="G530" s="76" t="b">
        <v>0</v>
      </c>
    </row>
    <row r="531" spans="1:7" ht="15">
      <c r="A531" s="73" t="s">
        <v>366</v>
      </c>
      <c r="B531" s="76">
        <v>2</v>
      </c>
      <c r="C531" s="87">
        <v>0</v>
      </c>
      <c r="D531" s="76" t="s">
        <v>1473</v>
      </c>
      <c r="E531" s="76" t="b">
        <v>0</v>
      </c>
      <c r="F531" s="76" t="b">
        <v>1</v>
      </c>
      <c r="G531" s="76" t="b">
        <v>0</v>
      </c>
    </row>
    <row r="532" spans="1:7" ht="15">
      <c r="A532" s="73" t="s">
        <v>367</v>
      </c>
      <c r="B532" s="76">
        <v>2</v>
      </c>
      <c r="C532" s="87">
        <v>0</v>
      </c>
      <c r="D532" s="76" t="s">
        <v>1473</v>
      </c>
      <c r="E532" s="76" t="b">
        <v>0</v>
      </c>
      <c r="F532" s="76" t="b">
        <v>0</v>
      </c>
      <c r="G532" s="76" t="b">
        <v>0</v>
      </c>
    </row>
    <row r="533" spans="1:7" ht="15">
      <c r="A533" s="73" t="s">
        <v>368</v>
      </c>
      <c r="B533" s="76">
        <v>2</v>
      </c>
      <c r="C533" s="87">
        <v>0</v>
      </c>
      <c r="D533" s="76" t="s">
        <v>1473</v>
      </c>
      <c r="E533" s="76" t="b">
        <v>0</v>
      </c>
      <c r="F533" s="76" t="b">
        <v>0</v>
      </c>
      <c r="G533" s="76" t="b">
        <v>0</v>
      </c>
    </row>
    <row r="534" spans="1:7" ht="15">
      <c r="A534" s="73" t="s">
        <v>369</v>
      </c>
      <c r="B534" s="76">
        <v>2</v>
      </c>
      <c r="C534" s="87">
        <v>0</v>
      </c>
      <c r="D534" s="76" t="s">
        <v>1473</v>
      </c>
      <c r="E534" s="76" t="b">
        <v>0</v>
      </c>
      <c r="F534" s="76" t="b">
        <v>0</v>
      </c>
      <c r="G534" s="76" t="b">
        <v>0</v>
      </c>
    </row>
    <row r="535" spans="1:7" ht="15">
      <c r="A535" s="73" t="s">
        <v>370</v>
      </c>
      <c r="B535" s="76">
        <v>2</v>
      </c>
      <c r="C535" s="87">
        <v>0</v>
      </c>
      <c r="D535" s="76" t="s">
        <v>1473</v>
      </c>
      <c r="E535" s="76" t="b">
        <v>0</v>
      </c>
      <c r="F535" s="76" t="b">
        <v>0</v>
      </c>
      <c r="G535" s="76" t="b">
        <v>0</v>
      </c>
    </row>
    <row r="536" spans="1:7" ht="15">
      <c r="A536" s="73" t="s">
        <v>360</v>
      </c>
      <c r="B536" s="76">
        <v>2</v>
      </c>
      <c r="C536" s="87">
        <v>0</v>
      </c>
      <c r="D536" s="76" t="s">
        <v>1473</v>
      </c>
      <c r="E536" s="76" t="b">
        <v>0</v>
      </c>
      <c r="F536" s="76" t="b">
        <v>0</v>
      </c>
      <c r="G536" s="76" t="b">
        <v>0</v>
      </c>
    </row>
    <row r="537" spans="1:7" ht="15">
      <c r="A537" s="73" t="s">
        <v>371</v>
      </c>
      <c r="B537" s="76">
        <v>2</v>
      </c>
      <c r="C537" s="87">
        <v>0</v>
      </c>
      <c r="D537" s="76" t="s">
        <v>1473</v>
      </c>
      <c r="E537" s="76" t="b">
        <v>0</v>
      </c>
      <c r="F537" s="76" t="b">
        <v>0</v>
      </c>
      <c r="G537" s="76" t="b">
        <v>0</v>
      </c>
    </row>
    <row r="538" spans="1:7" ht="15">
      <c r="A538" s="73" t="s">
        <v>372</v>
      </c>
      <c r="B538" s="76">
        <v>2</v>
      </c>
      <c r="C538" s="87">
        <v>0</v>
      </c>
      <c r="D538" s="76" t="s">
        <v>1473</v>
      </c>
      <c r="E538" s="76" t="b">
        <v>0</v>
      </c>
      <c r="F538" s="76" t="b">
        <v>0</v>
      </c>
      <c r="G538" s="76" t="b">
        <v>0</v>
      </c>
    </row>
    <row r="539" spans="1:7" ht="15">
      <c r="A539" s="73" t="s">
        <v>361</v>
      </c>
      <c r="B539" s="76">
        <v>2</v>
      </c>
      <c r="C539" s="87">
        <v>0</v>
      </c>
      <c r="D539" s="76" t="s">
        <v>1473</v>
      </c>
      <c r="E539" s="76" t="b">
        <v>0</v>
      </c>
      <c r="F539" s="76" t="b">
        <v>0</v>
      </c>
      <c r="G539" s="76" t="b">
        <v>0</v>
      </c>
    </row>
    <row r="540" spans="1:7" ht="15">
      <c r="A540" s="73" t="s">
        <v>379</v>
      </c>
      <c r="B540" s="76">
        <v>2</v>
      </c>
      <c r="C540" s="87">
        <v>0</v>
      </c>
      <c r="D540" s="76" t="s">
        <v>1473</v>
      </c>
      <c r="E540" s="76" t="b">
        <v>0</v>
      </c>
      <c r="F540" s="76" t="b">
        <v>0</v>
      </c>
      <c r="G540" s="76" t="b">
        <v>0</v>
      </c>
    </row>
    <row r="541" spans="1:7" ht="15">
      <c r="A541" s="73" t="s">
        <v>362</v>
      </c>
      <c r="B541" s="76">
        <v>2</v>
      </c>
      <c r="C541" s="87">
        <v>0</v>
      </c>
      <c r="D541" s="76" t="s">
        <v>1473</v>
      </c>
      <c r="E541" s="76" t="b">
        <v>0</v>
      </c>
      <c r="F541" s="76" t="b">
        <v>0</v>
      </c>
      <c r="G541" s="76" t="b">
        <v>0</v>
      </c>
    </row>
    <row r="542" spans="1:7" ht="15">
      <c r="A542" s="73" t="s">
        <v>363</v>
      </c>
      <c r="B542" s="76">
        <v>2</v>
      </c>
      <c r="C542" s="87">
        <v>0</v>
      </c>
      <c r="D542" s="76" t="s">
        <v>1473</v>
      </c>
      <c r="E542" s="76" t="b">
        <v>0</v>
      </c>
      <c r="F542" s="76" t="b">
        <v>0</v>
      </c>
      <c r="G542" s="76" t="b">
        <v>0</v>
      </c>
    </row>
    <row r="543" spans="1:7" ht="15">
      <c r="A543" s="73" t="s">
        <v>373</v>
      </c>
      <c r="B543" s="76">
        <v>2</v>
      </c>
      <c r="C543" s="87">
        <v>0</v>
      </c>
      <c r="D543" s="76" t="s">
        <v>1473</v>
      </c>
      <c r="E543" s="76" t="b">
        <v>0</v>
      </c>
      <c r="F543" s="76" t="b">
        <v>0</v>
      </c>
      <c r="G543" s="76" t="b">
        <v>0</v>
      </c>
    </row>
    <row r="544" spans="1:7" ht="15">
      <c r="A544" s="73" t="s">
        <v>374</v>
      </c>
      <c r="B544" s="76">
        <v>2</v>
      </c>
      <c r="C544" s="87">
        <v>0</v>
      </c>
      <c r="D544" s="76" t="s">
        <v>1473</v>
      </c>
      <c r="E544" s="76" t="b">
        <v>0</v>
      </c>
      <c r="F544" s="76" t="b">
        <v>0</v>
      </c>
      <c r="G544" s="76" t="b">
        <v>0</v>
      </c>
    </row>
    <row r="545" spans="1:7" ht="15">
      <c r="A545" s="73" t="s">
        <v>375</v>
      </c>
      <c r="B545" s="76">
        <v>2</v>
      </c>
      <c r="C545" s="87">
        <v>0</v>
      </c>
      <c r="D545" s="76" t="s">
        <v>1473</v>
      </c>
      <c r="E545" s="76" t="b">
        <v>0</v>
      </c>
      <c r="F545" s="76" t="b">
        <v>0</v>
      </c>
      <c r="G545" s="76" t="b">
        <v>0</v>
      </c>
    </row>
    <row r="546" spans="1:7" ht="15">
      <c r="A546" s="73" t="s">
        <v>376</v>
      </c>
      <c r="B546" s="76">
        <v>2</v>
      </c>
      <c r="C546" s="87">
        <v>0</v>
      </c>
      <c r="D546" s="76" t="s">
        <v>1473</v>
      </c>
      <c r="E546" s="76" t="b">
        <v>0</v>
      </c>
      <c r="F546" s="76" t="b">
        <v>0</v>
      </c>
      <c r="G546" s="76" t="b">
        <v>0</v>
      </c>
    </row>
    <row r="547" spans="1:7" ht="15">
      <c r="A547" s="73" t="s">
        <v>377</v>
      </c>
      <c r="B547" s="76">
        <v>2</v>
      </c>
      <c r="C547" s="87">
        <v>0</v>
      </c>
      <c r="D547" s="76" t="s">
        <v>1473</v>
      </c>
      <c r="E547" s="76" t="b">
        <v>0</v>
      </c>
      <c r="F547" s="76" t="b">
        <v>0</v>
      </c>
      <c r="G547" s="76" t="b">
        <v>0</v>
      </c>
    </row>
    <row r="548" spans="1:7" ht="15">
      <c r="A548" s="73" t="s">
        <v>378</v>
      </c>
      <c r="B548" s="76">
        <v>2</v>
      </c>
      <c r="C548" s="87">
        <v>0</v>
      </c>
      <c r="D548" s="76" t="s">
        <v>1473</v>
      </c>
      <c r="E548" s="76" t="b">
        <v>0</v>
      </c>
      <c r="F548" s="76" t="b">
        <v>0</v>
      </c>
      <c r="G548" s="76" t="b">
        <v>0</v>
      </c>
    </row>
    <row r="549" spans="1:7" ht="15">
      <c r="A549" s="73" t="s">
        <v>1551</v>
      </c>
      <c r="B549" s="76">
        <v>2</v>
      </c>
      <c r="C549" s="87">
        <v>0</v>
      </c>
      <c r="D549" s="76" t="s">
        <v>1474</v>
      </c>
      <c r="E549" s="76" t="b">
        <v>0</v>
      </c>
      <c r="F549" s="76" t="b">
        <v>0</v>
      </c>
      <c r="G549" s="76" t="b">
        <v>0</v>
      </c>
    </row>
    <row r="550" spans="1:7" ht="15">
      <c r="A550" s="73" t="s">
        <v>379</v>
      </c>
      <c r="B550" s="76">
        <v>2</v>
      </c>
      <c r="C550" s="87">
        <v>0</v>
      </c>
      <c r="D550" s="76" t="s">
        <v>1474</v>
      </c>
      <c r="E550" s="76" t="b">
        <v>0</v>
      </c>
      <c r="F550" s="76" t="b">
        <v>0</v>
      </c>
      <c r="G550" s="76" t="b">
        <v>0</v>
      </c>
    </row>
    <row r="551" spans="1:7" ht="15">
      <c r="A551" s="73" t="s">
        <v>363</v>
      </c>
      <c r="B551" s="76">
        <v>2</v>
      </c>
      <c r="C551" s="87">
        <v>0</v>
      </c>
      <c r="D551" s="76" t="s">
        <v>1474</v>
      </c>
      <c r="E551" s="76" t="b">
        <v>0</v>
      </c>
      <c r="F551" s="76" t="b">
        <v>0</v>
      </c>
      <c r="G551" s="76" t="b">
        <v>0</v>
      </c>
    </row>
    <row r="552" spans="1:7" ht="15">
      <c r="A552" s="73" t="s">
        <v>720</v>
      </c>
      <c r="B552" s="76">
        <v>2</v>
      </c>
      <c r="C552" s="87">
        <v>0</v>
      </c>
      <c r="D552" s="76" t="s">
        <v>1475</v>
      </c>
      <c r="E552" s="76" t="b">
        <v>0</v>
      </c>
      <c r="F552" s="76" t="b">
        <v>0</v>
      </c>
      <c r="G552" s="76" t="b">
        <v>0</v>
      </c>
    </row>
    <row r="553" spans="1:7" ht="15">
      <c r="A553" s="73" t="s">
        <v>1649</v>
      </c>
      <c r="B553" s="76">
        <v>2</v>
      </c>
      <c r="C553" s="87">
        <v>0</v>
      </c>
      <c r="D553" s="76" t="s">
        <v>1475</v>
      </c>
      <c r="E553" s="76" t="b">
        <v>0</v>
      </c>
      <c r="F553" s="76" t="b">
        <v>0</v>
      </c>
      <c r="G553" s="76" t="b">
        <v>0</v>
      </c>
    </row>
    <row r="554" spans="1:7" ht="15">
      <c r="A554" s="73" t="s">
        <v>1650</v>
      </c>
      <c r="B554" s="76">
        <v>2</v>
      </c>
      <c r="C554" s="87">
        <v>0</v>
      </c>
      <c r="D554" s="76" t="s">
        <v>1475</v>
      </c>
      <c r="E554" s="76" t="b">
        <v>0</v>
      </c>
      <c r="F554" s="76" t="b">
        <v>0</v>
      </c>
      <c r="G554" s="76" t="b">
        <v>0</v>
      </c>
    </row>
    <row r="555" spans="1:7" ht="15">
      <c r="A555" s="73" t="s">
        <v>1492</v>
      </c>
      <c r="B555" s="76">
        <v>2</v>
      </c>
      <c r="C555" s="87">
        <v>0</v>
      </c>
      <c r="D555" s="76" t="s">
        <v>1475</v>
      </c>
      <c r="E555" s="76" t="b">
        <v>0</v>
      </c>
      <c r="F555" s="76" t="b">
        <v>0</v>
      </c>
      <c r="G555" s="76" t="b">
        <v>0</v>
      </c>
    </row>
    <row r="556" spans="1:7" ht="15">
      <c r="A556" s="73" t="s">
        <v>1651</v>
      </c>
      <c r="B556" s="76">
        <v>2</v>
      </c>
      <c r="C556" s="87">
        <v>0</v>
      </c>
      <c r="D556" s="76" t="s">
        <v>1475</v>
      </c>
      <c r="E556" s="76" t="b">
        <v>0</v>
      </c>
      <c r="F556" s="76" t="b">
        <v>0</v>
      </c>
      <c r="G556" s="76" t="b">
        <v>0</v>
      </c>
    </row>
    <row r="557" spans="1:7" ht="15">
      <c r="A557" s="73" t="s">
        <v>363</v>
      </c>
      <c r="B557" s="76">
        <v>2</v>
      </c>
      <c r="C557" s="87">
        <v>0</v>
      </c>
      <c r="D557" s="76" t="s">
        <v>1475</v>
      </c>
      <c r="E557" s="76" t="b">
        <v>0</v>
      </c>
      <c r="F557" s="76" t="b">
        <v>0</v>
      </c>
      <c r="G557" s="76" t="b">
        <v>0</v>
      </c>
    </row>
    <row r="558" spans="1:7" ht="15">
      <c r="A558" s="73" t="s">
        <v>1652</v>
      </c>
      <c r="B558" s="76">
        <v>2</v>
      </c>
      <c r="C558" s="87">
        <v>0</v>
      </c>
      <c r="D558" s="76" t="s">
        <v>1475</v>
      </c>
      <c r="E558" s="76" t="b">
        <v>1</v>
      </c>
      <c r="F558" s="76" t="b">
        <v>0</v>
      </c>
      <c r="G558" s="76" t="b">
        <v>0</v>
      </c>
    </row>
    <row r="559" spans="1:7" ht="15">
      <c r="A559" s="73" t="s">
        <v>1621</v>
      </c>
      <c r="B559" s="76">
        <v>2</v>
      </c>
      <c r="C559" s="87">
        <v>0</v>
      </c>
      <c r="D559" s="76" t="s">
        <v>1475</v>
      </c>
      <c r="E559" s="76" t="b">
        <v>0</v>
      </c>
      <c r="F559" s="76" t="b">
        <v>0</v>
      </c>
      <c r="G559" s="76" t="b">
        <v>0</v>
      </c>
    </row>
    <row r="560" spans="1:7" ht="15">
      <c r="A560" s="73" t="s">
        <v>1653</v>
      </c>
      <c r="B560" s="76">
        <v>2</v>
      </c>
      <c r="C560" s="87">
        <v>0</v>
      </c>
      <c r="D560" s="76" t="s">
        <v>1475</v>
      </c>
      <c r="E560" s="76" t="b">
        <v>0</v>
      </c>
      <c r="F560" s="76" t="b">
        <v>0</v>
      </c>
      <c r="G560" s="76" t="b">
        <v>0</v>
      </c>
    </row>
    <row r="561" spans="1:7" ht="15">
      <c r="A561" s="73" t="s">
        <v>370</v>
      </c>
      <c r="B561" s="76">
        <v>2</v>
      </c>
      <c r="C561" s="87">
        <v>0</v>
      </c>
      <c r="D561" s="76" t="s">
        <v>1475</v>
      </c>
      <c r="E561" s="76" t="b">
        <v>0</v>
      </c>
      <c r="F561" s="76" t="b">
        <v>0</v>
      </c>
      <c r="G561" s="76" t="b">
        <v>0</v>
      </c>
    </row>
    <row r="562" spans="1:7" ht="15">
      <c r="A562" s="73" t="s">
        <v>1654</v>
      </c>
      <c r="B562" s="76">
        <v>2</v>
      </c>
      <c r="C562" s="87">
        <v>0</v>
      </c>
      <c r="D562" s="76" t="s">
        <v>1475</v>
      </c>
      <c r="E562" s="76" t="b">
        <v>0</v>
      </c>
      <c r="F562" s="76" t="b">
        <v>0</v>
      </c>
      <c r="G562" s="76" t="b">
        <v>0</v>
      </c>
    </row>
    <row r="563" spans="1:7" ht="15">
      <c r="A563" s="73" t="s">
        <v>1655</v>
      </c>
      <c r="B563" s="76">
        <v>2</v>
      </c>
      <c r="C563" s="87">
        <v>0</v>
      </c>
      <c r="D563" s="76" t="s">
        <v>1475</v>
      </c>
      <c r="E563" s="76" t="b">
        <v>0</v>
      </c>
      <c r="F563" s="76" t="b">
        <v>0</v>
      </c>
      <c r="G563" s="76" t="b">
        <v>0</v>
      </c>
    </row>
    <row r="564" spans="1:7" ht="15">
      <c r="A564" s="73" t="s">
        <v>1656</v>
      </c>
      <c r="B564" s="76">
        <v>2</v>
      </c>
      <c r="C564" s="87">
        <v>0</v>
      </c>
      <c r="D564" s="76" t="s">
        <v>1475</v>
      </c>
      <c r="E564" s="76" t="b">
        <v>0</v>
      </c>
      <c r="F564" s="76" t="b">
        <v>0</v>
      </c>
      <c r="G564" s="76" t="b">
        <v>0</v>
      </c>
    </row>
    <row r="565" spans="1:7" ht="15">
      <c r="A565" s="73" t="s">
        <v>1657</v>
      </c>
      <c r="B565" s="76">
        <v>2</v>
      </c>
      <c r="C565" s="87">
        <v>0</v>
      </c>
      <c r="D565" s="76" t="s">
        <v>1475</v>
      </c>
      <c r="E565" s="76" t="b">
        <v>0</v>
      </c>
      <c r="F565" s="76" t="b">
        <v>0</v>
      </c>
      <c r="G565" s="76" t="b">
        <v>0</v>
      </c>
    </row>
    <row r="566" spans="1:7" ht="15">
      <c r="A566" s="73" t="s">
        <v>1590</v>
      </c>
      <c r="B566" s="76">
        <v>2</v>
      </c>
      <c r="C566" s="87">
        <v>0</v>
      </c>
      <c r="D566" s="76" t="s">
        <v>1475</v>
      </c>
      <c r="E566" s="76" t="b">
        <v>1</v>
      </c>
      <c r="F566" s="76" t="b">
        <v>0</v>
      </c>
      <c r="G566" s="76" t="b">
        <v>0</v>
      </c>
    </row>
    <row r="567" spans="1:7" ht="15">
      <c r="A567" s="73" t="s">
        <v>1658</v>
      </c>
      <c r="B567" s="76">
        <v>2</v>
      </c>
      <c r="C567" s="87">
        <v>0</v>
      </c>
      <c r="D567" s="76" t="s">
        <v>1475</v>
      </c>
      <c r="E567" s="76" t="b">
        <v>0</v>
      </c>
      <c r="F567" s="76" t="b">
        <v>0</v>
      </c>
      <c r="G567" s="76" t="b">
        <v>0</v>
      </c>
    </row>
    <row r="568" spans="1:7" ht="15">
      <c r="A568" s="73" t="s">
        <v>1659</v>
      </c>
      <c r="B568" s="76">
        <v>2</v>
      </c>
      <c r="C568" s="87">
        <v>0</v>
      </c>
      <c r="D568" s="76" t="s">
        <v>1475</v>
      </c>
      <c r="E568" s="76" t="b">
        <v>0</v>
      </c>
      <c r="F568" s="76" t="b">
        <v>0</v>
      </c>
      <c r="G568" s="76" t="b">
        <v>0</v>
      </c>
    </row>
    <row r="569" spans="1:7" ht="15">
      <c r="A569" s="73" t="s">
        <v>1660</v>
      </c>
      <c r="B569" s="76">
        <v>2</v>
      </c>
      <c r="C569" s="87">
        <v>0</v>
      </c>
      <c r="D569" s="76" t="s">
        <v>1475</v>
      </c>
      <c r="E569" s="76" t="b">
        <v>0</v>
      </c>
      <c r="F569" s="76" t="b">
        <v>0</v>
      </c>
      <c r="G569" s="76" t="b">
        <v>0</v>
      </c>
    </row>
    <row r="570" spans="1:7" ht="15">
      <c r="A570" s="73" t="s">
        <v>1661</v>
      </c>
      <c r="B570" s="76">
        <v>2</v>
      </c>
      <c r="C570" s="87">
        <v>0</v>
      </c>
      <c r="D570" s="76" t="s">
        <v>1475</v>
      </c>
      <c r="E570" s="76" t="b">
        <v>0</v>
      </c>
      <c r="F570" s="76" t="b">
        <v>0</v>
      </c>
      <c r="G570" s="76" t="b">
        <v>0</v>
      </c>
    </row>
    <row r="571" spans="1:7" ht="15">
      <c r="A571" s="73" t="s">
        <v>1662</v>
      </c>
      <c r="B571" s="76">
        <v>2</v>
      </c>
      <c r="C571" s="87">
        <v>0</v>
      </c>
      <c r="D571" s="76" t="s">
        <v>1475</v>
      </c>
      <c r="E571" s="76" t="b">
        <v>0</v>
      </c>
      <c r="F571" s="76" t="b">
        <v>0</v>
      </c>
      <c r="G571" s="76" t="b">
        <v>0</v>
      </c>
    </row>
    <row r="572" spans="1:7" ht="15">
      <c r="A572" s="73" t="s">
        <v>1665</v>
      </c>
      <c r="B572" s="76">
        <v>2</v>
      </c>
      <c r="C572" s="87">
        <v>0</v>
      </c>
      <c r="D572" s="76" t="s">
        <v>1477</v>
      </c>
      <c r="E572" s="76" t="b">
        <v>0</v>
      </c>
      <c r="F572" s="76" t="b">
        <v>0</v>
      </c>
      <c r="G572" s="76" t="b">
        <v>0</v>
      </c>
    </row>
    <row r="573" spans="1:7" ht="15">
      <c r="A573" s="73" t="s">
        <v>1674</v>
      </c>
      <c r="B573" s="76">
        <v>2</v>
      </c>
      <c r="C573" s="87">
        <v>0</v>
      </c>
      <c r="D573" s="76" t="s">
        <v>1478</v>
      </c>
      <c r="E573" s="76" t="b">
        <v>0</v>
      </c>
      <c r="F573" s="76" t="b">
        <v>0</v>
      </c>
      <c r="G573" s="76" t="b">
        <v>0</v>
      </c>
    </row>
    <row r="574" spans="1:7" ht="15">
      <c r="A574" s="73" t="s">
        <v>373</v>
      </c>
      <c r="B574" s="76">
        <v>2</v>
      </c>
      <c r="C574" s="87">
        <v>0</v>
      </c>
      <c r="D574" s="76" t="s">
        <v>1478</v>
      </c>
      <c r="E574" s="76" t="b">
        <v>0</v>
      </c>
      <c r="F574" s="76" t="b">
        <v>0</v>
      </c>
      <c r="G574" s="76" t="b">
        <v>0</v>
      </c>
    </row>
    <row r="575" spans="1:7" ht="15">
      <c r="A575" s="73" t="s">
        <v>363</v>
      </c>
      <c r="B575" s="76">
        <v>2</v>
      </c>
      <c r="C575" s="87">
        <v>0</v>
      </c>
      <c r="D575" s="76" t="s">
        <v>1479</v>
      </c>
      <c r="E575" s="76" t="b">
        <v>0</v>
      </c>
      <c r="F575" s="76" t="b">
        <v>0</v>
      </c>
      <c r="G575" s="76" t="b">
        <v>0</v>
      </c>
    </row>
    <row r="576" spans="1:7" ht="15">
      <c r="A576" s="73" t="s">
        <v>1491</v>
      </c>
      <c r="B576" s="76">
        <v>2</v>
      </c>
      <c r="C576" s="87">
        <v>0</v>
      </c>
      <c r="D576" s="76" t="s">
        <v>1479</v>
      </c>
      <c r="E576" s="76" t="b">
        <v>0</v>
      </c>
      <c r="F576" s="76" t="b">
        <v>0</v>
      </c>
      <c r="G576" s="76" t="b">
        <v>0</v>
      </c>
    </row>
    <row r="577" spans="1:7" ht="15">
      <c r="A577" s="73" t="s">
        <v>1551</v>
      </c>
      <c r="B577" s="76">
        <v>2</v>
      </c>
      <c r="C577" s="87">
        <v>0</v>
      </c>
      <c r="D577" s="76" t="s">
        <v>1480</v>
      </c>
      <c r="E577" s="76" t="b">
        <v>0</v>
      </c>
      <c r="F577" s="76" t="b">
        <v>0</v>
      </c>
      <c r="G577" s="76" t="b">
        <v>0</v>
      </c>
    </row>
    <row r="578" spans="1:7" ht="15">
      <c r="A578" s="73" t="s">
        <v>1600</v>
      </c>
      <c r="B578" s="76">
        <v>4</v>
      </c>
      <c r="C578" s="87">
        <v>0</v>
      </c>
      <c r="D578" s="76" t="s">
        <v>1481</v>
      </c>
      <c r="E578" s="76" t="b">
        <v>0</v>
      </c>
      <c r="F578" s="76" t="b">
        <v>0</v>
      </c>
      <c r="G578" s="76" t="b">
        <v>0</v>
      </c>
    </row>
    <row r="579" spans="1:7" ht="15">
      <c r="A579" s="73" t="s">
        <v>1601</v>
      </c>
      <c r="B579" s="76">
        <v>4</v>
      </c>
      <c r="C579" s="87">
        <v>0</v>
      </c>
      <c r="D579" s="76" t="s">
        <v>1481</v>
      </c>
      <c r="E579" s="76" t="b">
        <v>0</v>
      </c>
      <c r="F579" s="76" t="b">
        <v>0</v>
      </c>
      <c r="G579" s="76" t="b">
        <v>0</v>
      </c>
    </row>
    <row r="580" spans="1:7" ht="15">
      <c r="A580" s="73" t="s">
        <v>363</v>
      </c>
      <c r="B580" s="76">
        <v>4</v>
      </c>
      <c r="C580" s="87">
        <v>0</v>
      </c>
      <c r="D580" s="76" t="s">
        <v>1481</v>
      </c>
      <c r="E580" s="76" t="b">
        <v>0</v>
      </c>
      <c r="F580" s="76" t="b">
        <v>0</v>
      </c>
      <c r="G580" s="76" t="b">
        <v>0</v>
      </c>
    </row>
    <row r="581" spans="1:7" ht="15">
      <c r="A581" s="73" t="s">
        <v>1695</v>
      </c>
      <c r="B581" s="76">
        <v>2</v>
      </c>
      <c r="C581" s="87">
        <v>0</v>
      </c>
      <c r="D581" s="76" t="s">
        <v>1481</v>
      </c>
      <c r="E581" s="76" t="b">
        <v>0</v>
      </c>
      <c r="F581" s="76" t="b">
        <v>0</v>
      </c>
      <c r="G581" s="76" t="b">
        <v>0</v>
      </c>
    </row>
    <row r="582" spans="1:7" ht="15">
      <c r="A582" s="73" t="s">
        <v>1696</v>
      </c>
      <c r="B582" s="76">
        <v>2</v>
      </c>
      <c r="C582" s="87">
        <v>0</v>
      </c>
      <c r="D582" s="76" t="s">
        <v>1481</v>
      </c>
      <c r="E582" s="76" t="b">
        <v>0</v>
      </c>
      <c r="F582" s="76" t="b">
        <v>0</v>
      </c>
      <c r="G582" s="76" t="b">
        <v>0</v>
      </c>
    </row>
    <row r="583" spans="1:7" ht="15">
      <c r="A583" s="73" t="s">
        <v>1697</v>
      </c>
      <c r="B583" s="76">
        <v>2</v>
      </c>
      <c r="C583" s="87">
        <v>0</v>
      </c>
      <c r="D583" s="76" t="s">
        <v>1481</v>
      </c>
      <c r="E583" s="76" t="b">
        <v>0</v>
      </c>
      <c r="F583" s="76" t="b">
        <v>0</v>
      </c>
      <c r="G583" s="76" t="b">
        <v>0</v>
      </c>
    </row>
    <row r="584" spans="1:7" ht="15">
      <c r="A584" s="73" t="s">
        <v>1511</v>
      </c>
      <c r="B584" s="76">
        <v>2</v>
      </c>
      <c r="C584" s="87">
        <v>0</v>
      </c>
      <c r="D584" s="76" t="s">
        <v>1481</v>
      </c>
      <c r="E584" s="76" t="b">
        <v>0</v>
      </c>
      <c r="F584" s="76" t="b">
        <v>0</v>
      </c>
      <c r="G584" s="76" t="b">
        <v>0</v>
      </c>
    </row>
    <row r="585" spans="1:7" ht="15">
      <c r="A585" s="73" t="s">
        <v>1698</v>
      </c>
      <c r="B585" s="76">
        <v>2</v>
      </c>
      <c r="C585" s="87">
        <v>0</v>
      </c>
      <c r="D585" s="76" t="s">
        <v>1481</v>
      </c>
      <c r="E585" s="76" t="b">
        <v>1</v>
      </c>
      <c r="F585" s="76" t="b">
        <v>0</v>
      </c>
      <c r="G585" s="76" t="b">
        <v>0</v>
      </c>
    </row>
    <row r="586" spans="1:7" ht="15">
      <c r="A586" s="73" t="s">
        <v>1699</v>
      </c>
      <c r="B586" s="76">
        <v>2</v>
      </c>
      <c r="C586" s="87">
        <v>0</v>
      </c>
      <c r="D586" s="76" t="s">
        <v>1481</v>
      </c>
      <c r="E586" s="76" t="b">
        <v>0</v>
      </c>
      <c r="F586" s="76" t="b">
        <v>0</v>
      </c>
      <c r="G586" s="76" t="b">
        <v>0</v>
      </c>
    </row>
    <row r="587" spans="1:7" ht="15">
      <c r="A587" s="73" t="s">
        <v>1700</v>
      </c>
      <c r="B587" s="76">
        <v>2</v>
      </c>
      <c r="C587" s="87">
        <v>0</v>
      </c>
      <c r="D587" s="76" t="s">
        <v>1481</v>
      </c>
      <c r="E587" s="76" t="b">
        <v>0</v>
      </c>
      <c r="F587" s="76" t="b">
        <v>0</v>
      </c>
      <c r="G587" s="76" t="b">
        <v>0</v>
      </c>
    </row>
    <row r="588" spans="1:7" ht="15">
      <c r="A588" s="73" t="s">
        <v>1701</v>
      </c>
      <c r="B588" s="76">
        <v>2</v>
      </c>
      <c r="C588" s="87">
        <v>0</v>
      </c>
      <c r="D588" s="76" t="s">
        <v>1481</v>
      </c>
      <c r="E588" s="76" t="b">
        <v>0</v>
      </c>
      <c r="F588" s="76" t="b">
        <v>0</v>
      </c>
      <c r="G588" s="76" t="b">
        <v>0</v>
      </c>
    </row>
    <row r="589" spans="1:7" ht="15">
      <c r="A589" s="73" t="s">
        <v>1702</v>
      </c>
      <c r="B589" s="76">
        <v>2</v>
      </c>
      <c r="C589" s="87">
        <v>0</v>
      </c>
      <c r="D589" s="76" t="s">
        <v>1481</v>
      </c>
      <c r="E589" s="76" t="b">
        <v>0</v>
      </c>
      <c r="F589" s="76" t="b">
        <v>0</v>
      </c>
      <c r="G589" s="76" t="b">
        <v>0</v>
      </c>
    </row>
    <row r="590" spans="1:7" ht="15">
      <c r="A590" s="73" t="s">
        <v>1703</v>
      </c>
      <c r="B590" s="76">
        <v>2</v>
      </c>
      <c r="C590" s="87">
        <v>0</v>
      </c>
      <c r="D590" s="76" t="s">
        <v>1481</v>
      </c>
      <c r="E590" s="76" t="b">
        <v>0</v>
      </c>
      <c r="F590" s="76" t="b">
        <v>0</v>
      </c>
      <c r="G590" s="76" t="b">
        <v>0</v>
      </c>
    </row>
    <row r="591" spans="1:7" ht="15">
      <c r="A591" s="73" t="s">
        <v>1704</v>
      </c>
      <c r="B591" s="76">
        <v>2</v>
      </c>
      <c r="C591" s="87">
        <v>0</v>
      </c>
      <c r="D591" s="76" t="s">
        <v>1481</v>
      </c>
      <c r="E591" s="76" t="b">
        <v>1</v>
      </c>
      <c r="F591" s="76" t="b">
        <v>0</v>
      </c>
      <c r="G591" s="76" t="b">
        <v>0</v>
      </c>
    </row>
    <row r="592" spans="1:7" ht="15">
      <c r="A592" s="73" t="s">
        <v>1705</v>
      </c>
      <c r="B592" s="76">
        <v>2</v>
      </c>
      <c r="C592" s="87">
        <v>0</v>
      </c>
      <c r="D592" s="76" t="s">
        <v>1481</v>
      </c>
      <c r="E592" s="76" t="b">
        <v>0</v>
      </c>
      <c r="F592" s="76" t="b">
        <v>0</v>
      </c>
      <c r="G592" s="76" t="b">
        <v>0</v>
      </c>
    </row>
    <row r="593" spans="1:7" ht="15">
      <c r="A593" s="73" t="s">
        <v>1706</v>
      </c>
      <c r="B593" s="76">
        <v>2</v>
      </c>
      <c r="C593" s="87">
        <v>0</v>
      </c>
      <c r="D593" s="76" t="s">
        <v>1481</v>
      </c>
      <c r="E593" s="76" t="b">
        <v>0</v>
      </c>
      <c r="F593" s="76" t="b">
        <v>0</v>
      </c>
      <c r="G593" s="76" t="b">
        <v>0</v>
      </c>
    </row>
    <row r="594" spans="1:7" ht="15">
      <c r="A594" s="73" t="s">
        <v>1707</v>
      </c>
      <c r="B594" s="76">
        <v>2</v>
      </c>
      <c r="C594" s="87">
        <v>0</v>
      </c>
      <c r="D594" s="76" t="s">
        <v>1481</v>
      </c>
      <c r="E594" s="76" t="b">
        <v>0</v>
      </c>
      <c r="F594" s="76" t="b">
        <v>0</v>
      </c>
      <c r="G594" s="76" t="b">
        <v>0</v>
      </c>
    </row>
    <row r="595" spans="1:7" ht="15">
      <c r="A595" s="73" t="s">
        <v>1598</v>
      </c>
      <c r="B595" s="76">
        <v>2</v>
      </c>
      <c r="C595" s="87">
        <v>0</v>
      </c>
      <c r="D595" s="76" t="s">
        <v>1481</v>
      </c>
      <c r="E595" s="76" t="b">
        <v>0</v>
      </c>
      <c r="F595" s="76" t="b">
        <v>0</v>
      </c>
      <c r="G595" s="76" t="b">
        <v>0</v>
      </c>
    </row>
    <row r="596" spans="1:7" ht="15">
      <c r="A596" s="73" t="s">
        <v>1503</v>
      </c>
      <c r="B596" s="76">
        <v>2</v>
      </c>
      <c r="C596" s="87">
        <v>0</v>
      </c>
      <c r="D596" s="76" t="s">
        <v>1481</v>
      </c>
      <c r="E596" s="76" t="b">
        <v>0</v>
      </c>
      <c r="F596" s="76" t="b">
        <v>0</v>
      </c>
      <c r="G596" s="76" t="b">
        <v>0</v>
      </c>
    </row>
    <row r="597" spans="1:7" ht="15">
      <c r="A597" s="73" t="s">
        <v>360</v>
      </c>
      <c r="B597" s="76">
        <v>2</v>
      </c>
      <c r="C597" s="87">
        <v>0</v>
      </c>
      <c r="D597" s="76" t="s">
        <v>1481</v>
      </c>
      <c r="E597" s="76" t="b">
        <v>0</v>
      </c>
      <c r="F597" s="76" t="b">
        <v>0</v>
      </c>
      <c r="G597" s="76" t="b">
        <v>0</v>
      </c>
    </row>
    <row r="598" spans="1:7" ht="15">
      <c r="A598" s="73" t="s">
        <v>362</v>
      </c>
      <c r="B598" s="76">
        <v>2</v>
      </c>
      <c r="C598" s="87">
        <v>0</v>
      </c>
      <c r="D598" s="76" t="s">
        <v>1481</v>
      </c>
      <c r="E598" s="76" t="b">
        <v>0</v>
      </c>
      <c r="F598" s="76" t="b">
        <v>0</v>
      </c>
      <c r="G598" s="76" t="b">
        <v>0</v>
      </c>
    </row>
    <row r="599" spans="1:7" ht="15">
      <c r="A599" s="73" t="s">
        <v>1552</v>
      </c>
      <c r="B599" s="76">
        <v>2</v>
      </c>
      <c r="C599" s="87">
        <v>0</v>
      </c>
      <c r="D599" s="76" t="s">
        <v>1481</v>
      </c>
      <c r="E599" s="76" t="b">
        <v>0</v>
      </c>
      <c r="F599" s="76" t="b">
        <v>0</v>
      </c>
      <c r="G599" s="76" t="b">
        <v>0</v>
      </c>
    </row>
    <row r="600" spans="1:7" ht="15">
      <c r="A600" s="73" t="s">
        <v>1551</v>
      </c>
      <c r="B600" s="76">
        <v>2</v>
      </c>
      <c r="C600" s="87">
        <v>0</v>
      </c>
      <c r="D600" s="76" t="s">
        <v>1481</v>
      </c>
      <c r="E600" s="76" t="b">
        <v>0</v>
      </c>
      <c r="F600" s="76" t="b">
        <v>0</v>
      </c>
      <c r="G600" s="76" t="b">
        <v>0</v>
      </c>
    </row>
    <row r="601" spans="1:7" ht="15">
      <c r="A601" s="73" t="s">
        <v>1629</v>
      </c>
      <c r="B601" s="76">
        <v>2</v>
      </c>
      <c r="C601" s="87">
        <v>0</v>
      </c>
      <c r="D601" s="76" t="s">
        <v>1481</v>
      </c>
      <c r="E601" s="76" t="b">
        <v>0</v>
      </c>
      <c r="F601" s="76" t="b">
        <v>0</v>
      </c>
      <c r="G601"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57E2-9DAC-4769-A634-54FD12F7CFAA}">
  <dimension ref="A1:L57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76" t="s">
        <v>360</v>
      </c>
      <c r="B2" s="76" t="s">
        <v>362</v>
      </c>
      <c r="C2" s="76">
        <v>81</v>
      </c>
      <c r="D2" s="87">
        <v>0.00423609780882055</v>
      </c>
      <c r="E2" s="87">
        <v>1.2978472559580496</v>
      </c>
      <c r="F2" s="76" t="s">
        <v>389</v>
      </c>
      <c r="G2" s="76" t="b">
        <v>0</v>
      </c>
      <c r="H2" s="76" t="b">
        <v>0</v>
      </c>
      <c r="I2" s="76" t="b">
        <v>0</v>
      </c>
      <c r="J2" s="76" t="b">
        <v>0</v>
      </c>
      <c r="K2" s="76" t="b">
        <v>0</v>
      </c>
      <c r="L2" s="76" t="b">
        <v>0</v>
      </c>
    </row>
    <row r="3" spans="1:12" ht="15">
      <c r="A3" s="73" t="s">
        <v>362</v>
      </c>
      <c r="B3" s="76" t="s">
        <v>363</v>
      </c>
      <c r="C3" s="76">
        <v>75</v>
      </c>
      <c r="D3" s="87">
        <v>0.004971614444179038</v>
      </c>
      <c r="E3" s="87">
        <v>1.1712819149521785</v>
      </c>
      <c r="F3" s="76" t="s">
        <v>389</v>
      </c>
      <c r="G3" s="76" t="b">
        <v>0</v>
      </c>
      <c r="H3" s="76" t="b">
        <v>0</v>
      </c>
      <c r="I3" s="76" t="b">
        <v>0</v>
      </c>
      <c r="J3" s="76" t="b">
        <v>0</v>
      </c>
      <c r="K3" s="76" t="b">
        <v>0</v>
      </c>
      <c r="L3" s="76" t="b">
        <v>0</v>
      </c>
    </row>
    <row r="4" spans="1:12" ht="15">
      <c r="A4" s="73" t="s">
        <v>1491</v>
      </c>
      <c r="B4" s="76" t="s">
        <v>1498</v>
      </c>
      <c r="C4" s="76">
        <v>17</v>
      </c>
      <c r="D4" s="87">
        <v>0.007353789804637147</v>
      </c>
      <c r="E4" s="87">
        <v>1.5885742066549224</v>
      </c>
      <c r="F4" s="76" t="s">
        <v>389</v>
      </c>
      <c r="G4" s="76" t="b">
        <v>0</v>
      </c>
      <c r="H4" s="76" t="b">
        <v>0</v>
      </c>
      <c r="I4" s="76" t="b">
        <v>0</v>
      </c>
      <c r="J4" s="76" t="b">
        <v>0</v>
      </c>
      <c r="K4" s="76" t="b">
        <v>0</v>
      </c>
      <c r="L4" s="76" t="b">
        <v>0</v>
      </c>
    </row>
    <row r="5" spans="1:12" ht="15">
      <c r="A5" s="73" t="s">
        <v>1510</v>
      </c>
      <c r="B5" s="76" t="s">
        <v>360</v>
      </c>
      <c r="C5" s="76">
        <v>15</v>
      </c>
      <c r="D5" s="87">
        <v>0.0053830001868853195</v>
      </c>
      <c r="E5" s="87">
        <v>1.3990838929555551</v>
      </c>
      <c r="F5" s="76" t="s">
        <v>389</v>
      </c>
      <c r="G5" s="76" t="b">
        <v>0</v>
      </c>
      <c r="H5" s="76" t="b">
        <v>0</v>
      </c>
      <c r="I5" s="76" t="b">
        <v>0</v>
      </c>
      <c r="J5" s="76" t="b">
        <v>0</v>
      </c>
      <c r="K5" s="76" t="b">
        <v>0</v>
      </c>
      <c r="L5" s="76" t="b">
        <v>0</v>
      </c>
    </row>
    <row r="6" spans="1:12" ht="15">
      <c r="A6" s="73" t="s">
        <v>1502</v>
      </c>
      <c r="B6" s="76" t="s">
        <v>1492</v>
      </c>
      <c r="C6" s="76">
        <v>14</v>
      </c>
      <c r="D6" s="87">
        <v>0.005199723766145652</v>
      </c>
      <c r="E6" s="87">
        <v>1.6110465678950385</v>
      </c>
      <c r="F6" s="76" t="s">
        <v>389</v>
      </c>
      <c r="G6" s="76" t="b">
        <v>1</v>
      </c>
      <c r="H6" s="76" t="b">
        <v>0</v>
      </c>
      <c r="I6" s="76" t="b">
        <v>0</v>
      </c>
      <c r="J6" s="76" t="b">
        <v>0</v>
      </c>
      <c r="K6" s="76" t="b">
        <v>0</v>
      </c>
      <c r="L6" s="76" t="b">
        <v>0</v>
      </c>
    </row>
    <row r="7" spans="1:12" ht="15">
      <c r="A7" s="73" t="s">
        <v>1492</v>
      </c>
      <c r="B7" s="76" t="s">
        <v>1513</v>
      </c>
      <c r="C7" s="76">
        <v>14</v>
      </c>
      <c r="D7" s="87">
        <v>0.005199723766145652</v>
      </c>
      <c r="E7" s="87">
        <v>1.7049127715013048</v>
      </c>
      <c r="F7" s="76" t="s">
        <v>389</v>
      </c>
      <c r="G7" s="76" t="b">
        <v>0</v>
      </c>
      <c r="H7" s="76" t="b">
        <v>0</v>
      </c>
      <c r="I7" s="76" t="b">
        <v>0</v>
      </c>
      <c r="J7" s="76" t="b">
        <v>0</v>
      </c>
      <c r="K7" s="76" t="b">
        <v>0</v>
      </c>
      <c r="L7" s="76" t="b">
        <v>0</v>
      </c>
    </row>
    <row r="8" spans="1:12" ht="15">
      <c r="A8" s="73" t="s">
        <v>1513</v>
      </c>
      <c r="B8" s="76" t="s">
        <v>720</v>
      </c>
      <c r="C8" s="76">
        <v>14</v>
      </c>
      <c r="D8" s="87">
        <v>0.005199723766145652</v>
      </c>
      <c r="E8" s="87">
        <v>1.9109672539344293</v>
      </c>
      <c r="F8" s="76" t="s">
        <v>389</v>
      </c>
      <c r="G8" s="76" t="b">
        <v>0</v>
      </c>
      <c r="H8" s="76" t="b">
        <v>0</v>
      </c>
      <c r="I8" s="76" t="b">
        <v>0</v>
      </c>
      <c r="J8" s="76" t="b">
        <v>0</v>
      </c>
      <c r="K8" s="76" t="b">
        <v>0</v>
      </c>
      <c r="L8" s="76" t="b">
        <v>0</v>
      </c>
    </row>
    <row r="9" spans="1:12" ht="15">
      <c r="A9" s="73" t="s">
        <v>720</v>
      </c>
      <c r="B9" s="76" t="s">
        <v>1508</v>
      </c>
      <c r="C9" s="76">
        <v>14</v>
      </c>
      <c r="D9" s="87">
        <v>0.005199723766145652</v>
      </c>
      <c r="E9" s="87">
        <v>2.0494084609463763</v>
      </c>
      <c r="F9" s="76" t="s">
        <v>389</v>
      </c>
      <c r="G9" s="76" t="b">
        <v>0</v>
      </c>
      <c r="H9" s="76" t="b">
        <v>0</v>
      </c>
      <c r="I9" s="76" t="b">
        <v>0</v>
      </c>
      <c r="J9" s="76" t="b">
        <v>0</v>
      </c>
      <c r="K9" s="76" t="b">
        <v>0</v>
      </c>
      <c r="L9" s="76" t="b">
        <v>0</v>
      </c>
    </row>
    <row r="10" spans="1:12" ht="15">
      <c r="A10" s="73" t="s">
        <v>1508</v>
      </c>
      <c r="B10" s="76" t="s">
        <v>360</v>
      </c>
      <c r="C10" s="76">
        <v>14</v>
      </c>
      <c r="D10" s="87">
        <v>0.005199723766145652</v>
      </c>
      <c r="E10" s="87">
        <v>1.3691206695781117</v>
      </c>
      <c r="F10" s="76" t="s">
        <v>389</v>
      </c>
      <c r="G10" s="76" t="b">
        <v>0</v>
      </c>
      <c r="H10" s="76" t="b">
        <v>0</v>
      </c>
      <c r="I10" s="76" t="b">
        <v>0</v>
      </c>
      <c r="J10" s="76" t="b">
        <v>0</v>
      </c>
      <c r="K10" s="76" t="b">
        <v>0</v>
      </c>
      <c r="L10" s="76" t="b">
        <v>0</v>
      </c>
    </row>
    <row r="11" spans="1:12" ht="15">
      <c r="A11" s="73" t="s">
        <v>363</v>
      </c>
      <c r="B11" s="76" t="s">
        <v>1514</v>
      </c>
      <c r="C11" s="76">
        <v>14</v>
      </c>
      <c r="D11" s="87">
        <v>0.005199723766145652</v>
      </c>
      <c r="E11" s="87">
        <v>1.2789440392290237</v>
      </c>
      <c r="F11" s="76" t="s">
        <v>389</v>
      </c>
      <c r="G11" s="76" t="b">
        <v>0</v>
      </c>
      <c r="H11" s="76" t="b">
        <v>0</v>
      </c>
      <c r="I11" s="76" t="b">
        <v>0</v>
      </c>
      <c r="J11" s="76" t="b">
        <v>0</v>
      </c>
      <c r="K11" s="76" t="b">
        <v>0</v>
      </c>
      <c r="L11" s="76" t="b">
        <v>0</v>
      </c>
    </row>
    <row r="12" spans="1:12" ht="15">
      <c r="A12" s="73" t="s">
        <v>1514</v>
      </c>
      <c r="B12" s="76" t="s">
        <v>1515</v>
      </c>
      <c r="C12" s="76">
        <v>14</v>
      </c>
      <c r="D12" s="87">
        <v>0.005199723766145652</v>
      </c>
      <c r="E12" s="87">
        <v>2.2119972495984106</v>
      </c>
      <c r="F12" s="76" t="s">
        <v>389</v>
      </c>
      <c r="G12" s="76" t="b">
        <v>0</v>
      </c>
      <c r="H12" s="76" t="b">
        <v>0</v>
      </c>
      <c r="I12" s="76" t="b">
        <v>0</v>
      </c>
      <c r="J12" s="76" t="b">
        <v>0</v>
      </c>
      <c r="K12" s="76" t="b">
        <v>0</v>
      </c>
      <c r="L12" s="76" t="b">
        <v>0</v>
      </c>
    </row>
    <row r="13" spans="1:12" ht="15">
      <c r="A13" s="73" t="s">
        <v>1515</v>
      </c>
      <c r="B13" s="76" t="s">
        <v>363</v>
      </c>
      <c r="C13" s="76">
        <v>14</v>
      </c>
      <c r="D13" s="87">
        <v>0.005199723766145652</v>
      </c>
      <c r="E13" s="87">
        <v>1.2647036001144134</v>
      </c>
      <c r="F13" s="76" t="s">
        <v>389</v>
      </c>
      <c r="G13" s="76" t="b">
        <v>0</v>
      </c>
      <c r="H13" s="76" t="b">
        <v>0</v>
      </c>
      <c r="I13" s="76" t="b">
        <v>0</v>
      </c>
      <c r="J13" s="76" t="b">
        <v>0</v>
      </c>
      <c r="K13" s="76" t="b">
        <v>0</v>
      </c>
      <c r="L13" s="76" t="b">
        <v>0</v>
      </c>
    </row>
    <row r="14" spans="1:12" ht="15">
      <c r="A14" s="73" t="s">
        <v>363</v>
      </c>
      <c r="B14" s="76" t="s">
        <v>1516</v>
      </c>
      <c r="C14" s="76">
        <v>14</v>
      </c>
      <c r="D14" s="87">
        <v>0.005199723766145652</v>
      </c>
      <c r="E14" s="87">
        <v>1.2789440392290237</v>
      </c>
      <c r="F14" s="76" t="s">
        <v>389</v>
      </c>
      <c r="G14" s="76" t="b">
        <v>0</v>
      </c>
      <c r="H14" s="76" t="b">
        <v>0</v>
      </c>
      <c r="I14" s="76" t="b">
        <v>0</v>
      </c>
      <c r="J14" s="76" t="b">
        <v>0</v>
      </c>
      <c r="K14" s="76" t="b">
        <v>0</v>
      </c>
      <c r="L14" s="76" t="b">
        <v>0</v>
      </c>
    </row>
    <row r="15" spans="1:12" ht="15">
      <c r="A15" s="73" t="s">
        <v>1516</v>
      </c>
      <c r="B15" s="76" t="s">
        <v>1501</v>
      </c>
      <c r="C15" s="76">
        <v>14</v>
      </c>
      <c r="D15" s="87">
        <v>0.005199723766145652</v>
      </c>
      <c r="E15" s="87">
        <v>2.1276763638983747</v>
      </c>
      <c r="F15" s="76" t="s">
        <v>389</v>
      </c>
      <c r="G15" s="76" t="b">
        <v>0</v>
      </c>
      <c r="H15" s="76" t="b">
        <v>0</v>
      </c>
      <c r="I15" s="76" t="b">
        <v>0</v>
      </c>
      <c r="J15" s="76" t="b">
        <v>0</v>
      </c>
      <c r="K15" s="76" t="b">
        <v>0</v>
      </c>
      <c r="L15" s="76" t="b">
        <v>0</v>
      </c>
    </row>
    <row r="16" spans="1:12" ht="15">
      <c r="A16" s="73" t="s">
        <v>1501</v>
      </c>
      <c r="B16" s="76" t="s">
        <v>1517</v>
      </c>
      <c r="C16" s="76">
        <v>14</v>
      </c>
      <c r="D16" s="87">
        <v>0.005199723766145652</v>
      </c>
      <c r="E16" s="87">
        <v>2.1276763638983747</v>
      </c>
      <c r="F16" s="76" t="s">
        <v>389</v>
      </c>
      <c r="G16" s="76" t="b">
        <v>0</v>
      </c>
      <c r="H16" s="76" t="b">
        <v>0</v>
      </c>
      <c r="I16" s="76" t="b">
        <v>0</v>
      </c>
      <c r="J16" s="76" t="b">
        <v>0</v>
      </c>
      <c r="K16" s="76" t="b">
        <v>0</v>
      </c>
      <c r="L16" s="76" t="b">
        <v>0</v>
      </c>
    </row>
    <row r="17" spans="1:12" ht="15">
      <c r="A17" s="73" t="s">
        <v>1517</v>
      </c>
      <c r="B17" s="76" t="s">
        <v>373</v>
      </c>
      <c r="C17" s="76">
        <v>14</v>
      </c>
      <c r="D17" s="87">
        <v>0.005199723766145652</v>
      </c>
      <c r="E17" s="87">
        <v>1.9109672539344293</v>
      </c>
      <c r="F17" s="76" t="s">
        <v>389</v>
      </c>
      <c r="G17" s="76" t="b">
        <v>0</v>
      </c>
      <c r="H17" s="76" t="b">
        <v>0</v>
      </c>
      <c r="I17" s="76" t="b">
        <v>0</v>
      </c>
      <c r="J17" s="76" t="b">
        <v>0</v>
      </c>
      <c r="K17" s="76" t="b">
        <v>0</v>
      </c>
      <c r="L17" s="76" t="b">
        <v>0</v>
      </c>
    </row>
    <row r="18" spans="1:12" ht="15">
      <c r="A18" s="73" t="s">
        <v>373</v>
      </c>
      <c r="B18" s="76" t="s">
        <v>1518</v>
      </c>
      <c r="C18" s="76">
        <v>14</v>
      </c>
      <c r="D18" s="87">
        <v>0.005199723766145652</v>
      </c>
      <c r="E18" s="87">
        <v>1.9109672539344293</v>
      </c>
      <c r="F18" s="76" t="s">
        <v>389</v>
      </c>
      <c r="G18" s="76" t="b">
        <v>0</v>
      </c>
      <c r="H18" s="76" t="b">
        <v>0</v>
      </c>
      <c r="I18" s="76" t="b">
        <v>0</v>
      </c>
      <c r="J18" s="76" t="b">
        <v>1</v>
      </c>
      <c r="K18" s="76" t="b">
        <v>0</v>
      </c>
      <c r="L18" s="76" t="b">
        <v>0</v>
      </c>
    </row>
    <row r="19" spans="1:12" ht="15">
      <c r="A19" s="73" t="s">
        <v>1518</v>
      </c>
      <c r="B19" s="76" t="s">
        <v>1519</v>
      </c>
      <c r="C19" s="76">
        <v>14</v>
      </c>
      <c r="D19" s="87">
        <v>0.005199723766145652</v>
      </c>
      <c r="E19" s="87">
        <v>2.2119972495984106</v>
      </c>
      <c r="F19" s="76" t="s">
        <v>389</v>
      </c>
      <c r="G19" s="76" t="b">
        <v>1</v>
      </c>
      <c r="H19" s="76" t="b">
        <v>0</v>
      </c>
      <c r="I19" s="76" t="b">
        <v>0</v>
      </c>
      <c r="J19" s="76" t="b">
        <v>0</v>
      </c>
      <c r="K19" s="76" t="b">
        <v>0</v>
      </c>
      <c r="L19" s="76" t="b">
        <v>0</v>
      </c>
    </row>
    <row r="20" spans="1:12" ht="15">
      <c r="A20" s="73" t="s">
        <v>1519</v>
      </c>
      <c r="B20" s="76" t="s">
        <v>1493</v>
      </c>
      <c r="C20" s="76">
        <v>14</v>
      </c>
      <c r="D20" s="87">
        <v>0.005199723766145652</v>
      </c>
      <c r="E20" s="87">
        <v>1.9431519373058306</v>
      </c>
      <c r="F20" s="76" t="s">
        <v>389</v>
      </c>
      <c r="G20" s="76" t="b">
        <v>0</v>
      </c>
      <c r="H20" s="76" t="b">
        <v>0</v>
      </c>
      <c r="I20" s="76" t="b">
        <v>0</v>
      </c>
      <c r="J20" s="76" t="b">
        <v>0</v>
      </c>
      <c r="K20" s="76" t="b">
        <v>0</v>
      </c>
      <c r="L20" s="76" t="b">
        <v>0</v>
      </c>
    </row>
    <row r="21" spans="1:12" ht="15">
      <c r="A21" s="73" t="s">
        <v>1493</v>
      </c>
      <c r="B21" s="76" t="s">
        <v>1492</v>
      </c>
      <c r="C21" s="76">
        <v>14</v>
      </c>
      <c r="D21" s="87">
        <v>0.005199723766145652</v>
      </c>
      <c r="E21" s="87">
        <v>1.4265221413024944</v>
      </c>
      <c r="F21" s="76" t="s">
        <v>389</v>
      </c>
      <c r="G21" s="76" t="b">
        <v>0</v>
      </c>
      <c r="H21" s="76" t="b">
        <v>0</v>
      </c>
      <c r="I21" s="76" t="b">
        <v>0</v>
      </c>
      <c r="J21" s="76" t="b">
        <v>0</v>
      </c>
      <c r="K21" s="76" t="b">
        <v>0</v>
      </c>
      <c r="L21" s="76" t="b">
        <v>0</v>
      </c>
    </row>
    <row r="22" spans="1:12" ht="15">
      <c r="A22" s="73" t="s">
        <v>1492</v>
      </c>
      <c r="B22" s="76" t="s">
        <v>1520</v>
      </c>
      <c r="C22" s="76">
        <v>14</v>
      </c>
      <c r="D22" s="87">
        <v>0.005199723766145652</v>
      </c>
      <c r="E22" s="87">
        <v>1.7049127715013048</v>
      </c>
      <c r="F22" s="76" t="s">
        <v>389</v>
      </c>
      <c r="G22" s="76" t="b">
        <v>0</v>
      </c>
      <c r="H22" s="76" t="b">
        <v>0</v>
      </c>
      <c r="I22" s="76" t="b">
        <v>0</v>
      </c>
      <c r="J22" s="76" t="b">
        <v>0</v>
      </c>
      <c r="K22" s="76" t="b">
        <v>0</v>
      </c>
      <c r="L22" s="76" t="b">
        <v>0</v>
      </c>
    </row>
    <row r="23" spans="1:12" ht="15">
      <c r="A23" s="73" t="s">
        <v>1520</v>
      </c>
      <c r="B23" s="76" t="s">
        <v>1509</v>
      </c>
      <c r="C23" s="76">
        <v>14</v>
      </c>
      <c r="D23" s="87">
        <v>0.005199723766145652</v>
      </c>
      <c r="E23" s="87">
        <v>2.1820340262209674</v>
      </c>
      <c r="F23" s="76" t="s">
        <v>389</v>
      </c>
      <c r="G23" s="76" t="b">
        <v>0</v>
      </c>
      <c r="H23" s="76" t="b">
        <v>0</v>
      </c>
      <c r="I23" s="76" t="b">
        <v>0</v>
      </c>
      <c r="J23" s="76" t="b">
        <v>0</v>
      </c>
      <c r="K23" s="76" t="b">
        <v>0</v>
      </c>
      <c r="L23" s="76" t="b">
        <v>0</v>
      </c>
    </row>
    <row r="24" spans="1:12" ht="15">
      <c r="A24" s="73" t="s">
        <v>1509</v>
      </c>
      <c r="B24" s="76" t="s">
        <v>1521</v>
      </c>
      <c r="C24" s="76">
        <v>14</v>
      </c>
      <c r="D24" s="87">
        <v>0.005199723766145652</v>
      </c>
      <c r="E24" s="87">
        <v>2.1820340262209674</v>
      </c>
      <c r="F24" s="76" t="s">
        <v>389</v>
      </c>
      <c r="G24" s="76" t="b">
        <v>0</v>
      </c>
      <c r="H24" s="76" t="b">
        <v>0</v>
      </c>
      <c r="I24" s="76" t="b">
        <v>0</v>
      </c>
      <c r="J24" s="76" t="b">
        <v>0</v>
      </c>
      <c r="K24" s="76" t="b">
        <v>0</v>
      </c>
      <c r="L24" s="76" t="b">
        <v>0</v>
      </c>
    </row>
    <row r="25" spans="1:12" ht="15">
      <c r="A25" s="73" t="s">
        <v>1521</v>
      </c>
      <c r="B25" s="76" t="s">
        <v>1522</v>
      </c>
      <c r="C25" s="76">
        <v>14</v>
      </c>
      <c r="D25" s="87">
        <v>0.005199723766145652</v>
      </c>
      <c r="E25" s="87">
        <v>2.2119972495984106</v>
      </c>
      <c r="F25" s="76" t="s">
        <v>389</v>
      </c>
      <c r="G25" s="76" t="b">
        <v>0</v>
      </c>
      <c r="H25" s="76" t="b">
        <v>0</v>
      </c>
      <c r="I25" s="76" t="b">
        <v>0</v>
      </c>
      <c r="J25" s="76" t="b">
        <v>0</v>
      </c>
      <c r="K25" s="76" t="b">
        <v>0</v>
      </c>
      <c r="L25" s="76" t="b">
        <v>0</v>
      </c>
    </row>
    <row r="26" spans="1:12" ht="15">
      <c r="A26" s="73" t="s">
        <v>1522</v>
      </c>
      <c r="B26" s="76" t="s">
        <v>1523</v>
      </c>
      <c r="C26" s="76">
        <v>14</v>
      </c>
      <c r="D26" s="87">
        <v>0.005199723766145652</v>
      </c>
      <c r="E26" s="87">
        <v>2.2119972495984106</v>
      </c>
      <c r="F26" s="76" t="s">
        <v>389</v>
      </c>
      <c r="G26" s="76" t="b">
        <v>0</v>
      </c>
      <c r="H26" s="76" t="b">
        <v>0</v>
      </c>
      <c r="I26" s="76" t="b">
        <v>0</v>
      </c>
      <c r="J26" s="76" t="b">
        <v>0</v>
      </c>
      <c r="K26" s="76" t="b">
        <v>0</v>
      </c>
      <c r="L26" s="76" t="b">
        <v>0</v>
      </c>
    </row>
    <row r="27" spans="1:12" ht="15">
      <c r="A27" s="73" t="s">
        <v>1523</v>
      </c>
      <c r="B27" s="76" t="s">
        <v>1505</v>
      </c>
      <c r="C27" s="76">
        <v>14</v>
      </c>
      <c r="D27" s="87">
        <v>0.005199723766145652</v>
      </c>
      <c r="E27" s="87">
        <v>2.1820340262209674</v>
      </c>
      <c r="F27" s="76" t="s">
        <v>389</v>
      </c>
      <c r="G27" s="76" t="b">
        <v>0</v>
      </c>
      <c r="H27" s="76" t="b">
        <v>0</v>
      </c>
      <c r="I27" s="76" t="b">
        <v>0</v>
      </c>
      <c r="J27" s="76" t="b">
        <v>0</v>
      </c>
      <c r="K27" s="76" t="b">
        <v>0</v>
      </c>
      <c r="L27" s="76" t="b">
        <v>0</v>
      </c>
    </row>
    <row r="28" spans="1:12" ht="15">
      <c r="A28" s="73" t="s">
        <v>1505</v>
      </c>
      <c r="B28" s="76" t="s">
        <v>1524</v>
      </c>
      <c r="C28" s="76">
        <v>14</v>
      </c>
      <c r="D28" s="87">
        <v>0.005199723766145652</v>
      </c>
      <c r="E28" s="87">
        <v>2.1820340262209674</v>
      </c>
      <c r="F28" s="76" t="s">
        <v>389</v>
      </c>
      <c r="G28" s="76" t="b">
        <v>0</v>
      </c>
      <c r="H28" s="76" t="b">
        <v>0</v>
      </c>
      <c r="I28" s="76" t="b">
        <v>0</v>
      </c>
      <c r="J28" s="76" t="b">
        <v>0</v>
      </c>
      <c r="K28" s="76" t="b">
        <v>0</v>
      </c>
      <c r="L28" s="76" t="b">
        <v>0</v>
      </c>
    </row>
    <row r="29" spans="1:12" ht="15">
      <c r="A29" s="73" t="s">
        <v>1527</v>
      </c>
      <c r="B29" s="76" t="s">
        <v>1528</v>
      </c>
      <c r="C29" s="76">
        <v>13</v>
      </c>
      <c r="D29" s="87">
        <v>0.005003451335848249</v>
      </c>
      <c r="E29" s="87">
        <v>2.244181932969812</v>
      </c>
      <c r="F29" s="76" t="s">
        <v>389</v>
      </c>
      <c r="G29" s="76" t="b">
        <v>0</v>
      </c>
      <c r="H29" s="76" t="b">
        <v>0</v>
      </c>
      <c r="I29" s="76" t="b">
        <v>0</v>
      </c>
      <c r="J29" s="76" t="b">
        <v>0</v>
      </c>
      <c r="K29" s="76" t="b">
        <v>0</v>
      </c>
      <c r="L29" s="76" t="b">
        <v>0</v>
      </c>
    </row>
    <row r="30" spans="1:12" ht="15">
      <c r="A30" s="73" t="s">
        <v>1528</v>
      </c>
      <c r="B30" s="76" t="s">
        <v>1529</v>
      </c>
      <c r="C30" s="76">
        <v>13</v>
      </c>
      <c r="D30" s="87">
        <v>0.005003451335848249</v>
      </c>
      <c r="E30" s="87">
        <v>2.244181932969812</v>
      </c>
      <c r="F30" s="76" t="s">
        <v>389</v>
      </c>
      <c r="G30" s="76" t="b">
        <v>0</v>
      </c>
      <c r="H30" s="76" t="b">
        <v>0</v>
      </c>
      <c r="I30" s="76" t="b">
        <v>0</v>
      </c>
      <c r="J30" s="76" t="b">
        <v>0</v>
      </c>
      <c r="K30" s="76" t="b">
        <v>0</v>
      </c>
      <c r="L30" s="76" t="b">
        <v>0</v>
      </c>
    </row>
    <row r="31" spans="1:12" ht="15">
      <c r="A31" s="73" t="s">
        <v>1529</v>
      </c>
      <c r="B31" s="76" t="s">
        <v>1510</v>
      </c>
      <c r="C31" s="76">
        <v>13</v>
      </c>
      <c r="D31" s="87">
        <v>0.005003451335848249</v>
      </c>
      <c r="E31" s="87">
        <v>2.1820340262209674</v>
      </c>
      <c r="F31" s="76" t="s">
        <v>389</v>
      </c>
      <c r="G31" s="76" t="b">
        <v>0</v>
      </c>
      <c r="H31" s="76" t="b">
        <v>0</v>
      </c>
      <c r="I31" s="76" t="b">
        <v>0</v>
      </c>
      <c r="J31" s="76" t="b">
        <v>0</v>
      </c>
      <c r="K31" s="76" t="b">
        <v>0</v>
      </c>
      <c r="L31" s="76" t="b">
        <v>0</v>
      </c>
    </row>
    <row r="32" spans="1:12" ht="15">
      <c r="A32" s="73" t="s">
        <v>363</v>
      </c>
      <c r="B32" s="76" t="s">
        <v>1530</v>
      </c>
      <c r="C32" s="76">
        <v>13</v>
      </c>
      <c r="D32" s="87">
        <v>0.005003451335848249</v>
      </c>
      <c r="E32" s="87">
        <v>1.2789440392290237</v>
      </c>
      <c r="F32" s="76" t="s">
        <v>389</v>
      </c>
      <c r="G32" s="76" t="b">
        <v>0</v>
      </c>
      <c r="H32" s="76" t="b">
        <v>0</v>
      </c>
      <c r="I32" s="76" t="b">
        <v>0</v>
      </c>
      <c r="J32" s="76" t="b">
        <v>0</v>
      </c>
      <c r="K32" s="76" t="b">
        <v>0</v>
      </c>
      <c r="L32" s="76" t="b">
        <v>0</v>
      </c>
    </row>
    <row r="33" spans="1:12" ht="15">
      <c r="A33" s="73" t="s">
        <v>1530</v>
      </c>
      <c r="B33" s="76" t="s">
        <v>1494</v>
      </c>
      <c r="C33" s="76">
        <v>13</v>
      </c>
      <c r="D33" s="87">
        <v>0.005003451335848249</v>
      </c>
      <c r="E33" s="87">
        <v>1.9431519373058306</v>
      </c>
      <c r="F33" s="76" t="s">
        <v>389</v>
      </c>
      <c r="G33" s="76" t="b">
        <v>0</v>
      </c>
      <c r="H33" s="76" t="b">
        <v>0</v>
      </c>
      <c r="I33" s="76" t="b">
        <v>0</v>
      </c>
      <c r="J33" s="76" t="b">
        <v>0</v>
      </c>
      <c r="K33" s="76" t="b">
        <v>0</v>
      </c>
      <c r="L33" s="76" t="b">
        <v>0</v>
      </c>
    </row>
    <row r="34" spans="1:12" ht="15">
      <c r="A34" s="73" t="s">
        <v>1494</v>
      </c>
      <c r="B34" s="76" t="s">
        <v>1495</v>
      </c>
      <c r="C34" s="76">
        <v>13</v>
      </c>
      <c r="D34" s="87">
        <v>0.005003451335848249</v>
      </c>
      <c r="E34" s="87">
        <v>1.6421219416418493</v>
      </c>
      <c r="F34" s="76" t="s">
        <v>389</v>
      </c>
      <c r="G34" s="76" t="b">
        <v>0</v>
      </c>
      <c r="H34" s="76" t="b">
        <v>0</v>
      </c>
      <c r="I34" s="76" t="b">
        <v>0</v>
      </c>
      <c r="J34" s="76" t="b">
        <v>0</v>
      </c>
      <c r="K34" s="76" t="b">
        <v>0</v>
      </c>
      <c r="L34" s="76" t="b">
        <v>0</v>
      </c>
    </row>
    <row r="35" spans="1:12" ht="15">
      <c r="A35" s="73" t="s">
        <v>1495</v>
      </c>
      <c r="B35" s="76" t="s">
        <v>1495</v>
      </c>
      <c r="C35" s="76">
        <v>13</v>
      </c>
      <c r="D35" s="87">
        <v>0.005003451335848249</v>
      </c>
      <c r="E35" s="87">
        <v>1.6421219416418493</v>
      </c>
      <c r="F35" s="76" t="s">
        <v>389</v>
      </c>
      <c r="G35" s="76" t="b">
        <v>0</v>
      </c>
      <c r="H35" s="76" t="b">
        <v>0</v>
      </c>
      <c r="I35" s="76" t="b">
        <v>0</v>
      </c>
      <c r="J35" s="76" t="b">
        <v>0</v>
      </c>
      <c r="K35" s="76" t="b">
        <v>0</v>
      </c>
      <c r="L35" s="76" t="b">
        <v>0</v>
      </c>
    </row>
    <row r="36" spans="1:12" ht="15">
      <c r="A36" s="73" t="s">
        <v>1495</v>
      </c>
      <c r="B36" s="76" t="s">
        <v>1494</v>
      </c>
      <c r="C36" s="76">
        <v>13</v>
      </c>
      <c r="D36" s="87">
        <v>0.005003451335848249</v>
      </c>
      <c r="E36" s="87">
        <v>1.6421219416418493</v>
      </c>
      <c r="F36" s="76" t="s">
        <v>389</v>
      </c>
      <c r="G36" s="76" t="b">
        <v>0</v>
      </c>
      <c r="H36" s="76" t="b">
        <v>0</v>
      </c>
      <c r="I36" s="76" t="b">
        <v>0</v>
      </c>
      <c r="J36" s="76" t="b">
        <v>0</v>
      </c>
      <c r="K36" s="76" t="b">
        <v>0</v>
      </c>
      <c r="L36" s="76" t="b">
        <v>0</v>
      </c>
    </row>
    <row r="37" spans="1:12" ht="15">
      <c r="A37" s="73" t="s">
        <v>1494</v>
      </c>
      <c r="B37" s="76" t="s">
        <v>1531</v>
      </c>
      <c r="C37" s="76">
        <v>13</v>
      </c>
      <c r="D37" s="87">
        <v>0.005003451335848249</v>
      </c>
      <c r="E37" s="87">
        <v>1.9431519373058306</v>
      </c>
      <c r="F37" s="76" t="s">
        <v>389</v>
      </c>
      <c r="G37" s="76" t="b">
        <v>0</v>
      </c>
      <c r="H37" s="76" t="b">
        <v>0</v>
      </c>
      <c r="I37" s="76" t="b">
        <v>0</v>
      </c>
      <c r="J37" s="76" t="b">
        <v>0</v>
      </c>
      <c r="K37" s="76" t="b">
        <v>0</v>
      </c>
      <c r="L37" s="76" t="b">
        <v>0</v>
      </c>
    </row>
    <row r="38" spans="1:12" ht="15">
      <c r="A38" s="73" t="s">
        <v>1531</v>
      </c>
      <c r="B38" s="76" t="s">
        <v>1532</v>
      </c>
      <c r="C38" s="76">
        <v>13</v>
      </c>
      <c r="D38" s="87">
        <v>0.005003451335848249</v>
      </c>
      <c r="E38" s="87">
        <v>2.244181932969812</v>
      </c>
      <c r="F38" s="76" t="s">
        <v>389</v>
      </c>
      <c r="G38" s="76" t="b">
        <v>0</v>
      </c>
      <c r="H38" s="76" t="b">
        <v>0</v>
      </c>
      <c r="I38" s="76" t="b">
        <v>0</v>
      </c>
      <c r="J38" s="76" t="b">
        <v>0</v>
      </c>
      <c r="K38" s="76" t="b">
        <v>0</v>
      </c>
      <c r="L38" s="76" t="b">
        <v>0</v>
      </c>
    </row>
    <row r="39" spans="1:12" ht="15">
      <c r="A39" s="73" t="s">
        <v>1532</v>
      </c>
      <c r="B39" s="76" t="s">
        <v>1533</v>
      </c>
      <c r="C39" s="76">
        <v>13</v>
      </c>
      <c r="D39" s="87">
        <v>0.005003451335848249</v>
      </c>
      <c r="E39" s="87">
        <v>2.244181932969812</v>
      </c>
      <c r="F39" s="76" t="s">
        <v>389</v>
      </c>
      <c r="G39" s="76" t="b">
        <v>0</v>
      </c>
      <c r="H39" s="76" t="b">
        <v>0</v>
      </c>
      <c r="I39" s="76" t="b">
        <v>0</v>
      </c>
      <c r="J39" s="76" t="b">
        <v>0</v>
      </c>
      <c r="K39" s="76" t="b">
        <v>0</v>
      </c>
      <c r="L39" s="76" t="b">
        <v>0</v>
      </c>
    </row>
    <row r="40" spans="1:12" ht="15">
      <c r="A40" s="73" t="s">
        <v>1533</v>
      </c>
      <c r="B40" s="76" t="s">
        <v>1534</v>
      </c>
      <c r="C40" s="76">
        <v>13</v>
      </c>
      <c r="D40" s="87">
        <v>0.005003451335848249</v>
      </c>
      <c r="E40" s="87">
        <v>2.244181932969812</v>
      </c>
      <c r="F40" s="76" t="s">
        <v>389</v>
      </c>
      <c r="G40" s="76" t="b">
        <v>0</v>
      </c>
      <c r="H40" s="76" t="b">
        <v>0</v>
      </c>
      <c r="I40" s="76" t="b">
        <v>0</v>
      </c>
      <c r="J40" s="76" t="b">
        <v>0</v>
      </c>
      <c r="K40" s="76" t="b">
        <v>0</v>
      </c>
      <c r="L40" s="76" t="b">
        <v>0</v>
      </c>
    </row>
    <row r="41" spans="1:12" ht="15">
      <c r="A41" s="73" t="s">
        <v>1534</v>
      </c>
      <c r="B41" s="76" t="s">
        <v>1497</v>
      </c>
      <c r="C41" s="76">
        <v>13</v>
      </c>
      <c r="D41" s="87">
        <v>0.005003451335848249</v>
      </c>
      <c r="E41" s="87">
        <v>1.960185276604611</v>
      </c>
      <c r="F41" s="76" t="s">
        <v>389</v>
      </c>
      <c r="G41" s="76" t="b">
        <v>0</v>
      </c>
      <c r="H41" s="76" t="b">
        <v>0</v>
      </c>
      <c r="I41" s="76" t="b">
        <v>0</v>
      </c>
      <c r="J41" s="76" t="b">
        <v>0</v>
      </c>
      <c r="K41" s="76" t="b">
        <v>0</v>
      </c>
      <c r="L41" s="76" t="b">
        <v>0</v>
      </c>
    </row>
    <row r="42" spans="1:12" ht="15">
      <c r="A42" s="73" t="s">
        <v>1497</v>
      </c>
      <c r="B42" s="76" t="s">
        <v>1506</v>
      </c>
      <c r="C42" s="76">
        <v>13</v>
      </c>
      <c r="D42" s="87">
        <v>0.005003451335848249</v>
      </c>
      <c r="E42" s="87">
        <v>1.8980373698557664</v>
      </c>
      <c r="F42" s="76" t="s">
        <v>389</v>
      </c>
      <c r="G42" s="76" t="b">
        <v>0</v>
      </c>
      <c r="H42" s="76" t="b">
        <v>0</v>
      </c>
      <c r="I42" s="76" t="b">
        <v>0</v>
      </c>
      <c r="J42" s="76" t="b">
        <v>0</v>
      </c>
      <c r="K42" s="76" t="b">
        <v>0</v>
      </c>
      <c r="L42" s="76" t="b">
        <v>0</v>
      </c>
    </row>
    <row r="43" spans="1:12" ht="15">
      <c r="A43" s="73" t="s">
        <v>1506</v>
      </c>
      <c r="B43" s="76" t="s">
        <v>1535</v>
      </c>
      <c r="C43" s="76">
        <v>13</v>
      </c>
      <c r="D43" s="87">
        <v>0.005003451335848249</v>
      </c>
      <c r="E43" s="87">
        <v>2.1820340262209674</v>
      </c>
      <c r="F43" s="76" t="s">
        <v>389</v>
      </c>
      <c r="G43" s="76" t="b">
        <v>0</v>
      </c>
      <c r="H43" s="76" t="b">
        <v>0</v>
      </c>
      <c r="I43" s="76" t="b">
        <v>0</v>
      </c>
      <c r="J43" s="76" t="b">
        <v>0</v>
      </c>
      <c r="K43" s="76" t="b">
        <v>0</v>
      </c>
      <c r="L43" s="76" t="b">
        <v>0</v>
      </c>
    </row>
    <row r="44" spans="1:12" ht="15">
      <c r="A44" s="73" t="s">
        <v>1535</v>
      </c>
      <c r="B44" s="76" t="s">
        <v>1536</v>
      </c>
      <c r="C44" s="76">
        <v>13</v>
      </c>
      <c r="D44" s="87">
        <v>0.005003451335848249</v>
      </c>
      <c r="E44" s="87">
        <v>2.244181932969812</v>
      </c>
      <c r="F44" s="76" t="s">
        <v>389</v>
      </c>
      <c r="G44" s="76" t="b">
        <v>0</v>
      </c>
      <c r="H44" s="76" t="b">
        <v>0</v>
      </c>
      <c r="I44" s="76" t="b">
        <v>0</v>
      </c>
      <c r="J44" s="76" t="b">
        <v>0</v>
      </c>
      <c r="K44" s="76" t="b">
        <v>0</v>
      </c>
      <c r="L44" s="76" t="b">
        <v>0</v>
      </c>
    </row>
    <row r="45" spans="1:12" ht="15">
      <c r="A45" s="73" t="s">
        <v>1536</v>
      </c>
      <c r="B45" s="76" t="s">
        <v>1525</v>
      </c>
      <c r="C45" s="76">
        <v>13</v>
      </c>
      <c r="D45" s="87">
        <v>0.005003451335848249</v>
      </c>
      <c r="E45" s="87">
        <v>2.2119972495984106</v>
      </c>
      <c r="F45" s="76" t="s">
        <v>389</v>
      </c>
      <c r="G45" s="76" t="b">
        <v>0</v>
      </c>
      <c r="H45" s="76" t="b">
        <v>0</v>
      </c>
      <c r="I45" s="76" t="b">
        <v>0</v>
      </c>
      <c r="J45" s="76" t="b">
        <v>0</v>
      </c>
      <c r="K45" s="76" t="b">
        <v>0</v>
      </c>
      <c r="L45" s="76" t="b">
        <v>0</v>
      </c>
    </row>
    <row r="46" spans="1:12" ht="15">
      <c r="A46" s="73" t="s">
        <v>1525</v>
      </c>
      <c r="B46" s="76" t="s">
        <v>1537</v>
      </c>
      <c r="C46" s="76">
        <v>13</v>
      </c>
      <c r="D46" s="87">
        <v>0.005003451335848249</v>
      </c>
      <c r="E46" s="87">
        <v>2.2119972495984106</v>
      </c>
      <c r="F46" s="76" t="s">
        <v>389</v>
      </c>
      <c r="G46" s="76" t="b">
        <v>0</v>
      </c>
      <c r="H46" s="76" t="b">
        <v>0</v>
      </c>
      <c r="I46" s="76" t="b">
        <v>0</v>
      </c>
      <c r="J46" s="76" t="b">
        <v>0</v>
      </c>
      <c r="K46" s="76" t="b">
        <v>0</v>
      </c>
      <c r="L46" s="76" t="b">
        <v>0</v>
      </c>
    </row>
    <row r="47" spans="1:12" ht="15">
      <c r="A47" s="73" t="s">
        <v>1537</v>
      </c>
      <c r="B47" s="76" t="s">
        <v>1507</v>
      </c>
      <c r="C47" s="76">
        <v>13</v>
      </c>
      <c r="D47" s="87">
        <v>0.005003451335848249</v>
      </c>
      <c r="E47" s="87">
        <v>2.1820340262209674</v>
      </c>
      <c r="F47" s="76" t="s">
        <v>389</v>
      </c>
      <c r="G47" s="76" t="b">
        <v>0</v>
      </c>
      <c r="H47" s="76" t="b">
        <v>0</v>
      </c>
      <c r="I47" s="76" t="b">
        <v>0</v>
      </c>
      <c r="J47" s="76" t="b">
        <v>0</v>
      </c>
      <c r="K47" s="76" t="b">
        <v>0</v>
      </c>
      <c r="L47" s="76" t="b">
        <v>0</v>
      </c>
    </row>
    <row r="48" spans="1:12" ht="15">
      <c r="A48" s="73" t="s">
        <v>359</v>
      </c>
      <c r="B48" s="76" t="s">
        <v>359</v>
      </c>
      <c r="C48" s="76">
        <v>12</v>
      </c>
      <c r="D48" s="87">
        <v>0.008701852288771714</v>
      </c>
      <c r="E48" s="87">
        <v>2.2119972495984106</v>
      </c>
      <c r="F48" s="76" t="s">
        <v>389</v>
      </c>
      <c r="G48" s="76" t="b">
        <v>0</v>
      </c>
      <c r="H48" s="76" t="b">
        <v>0</v>
      </c>
      <c r="I48" s="76" t="b">
        <v>0</v>
      </c>
      <c r="J48" s="76" t="b">
        <v>0</v>
      </c>
      <c r="K48" s="76" t="b">
        <v>0</v>
      </c>
      <c r="L48" s="76" t="b">
        <v>0</v>
      </c>
    </row>
    <row r="49" spans="1:12" ht="15">
      <c r="A49" s="73" t="s">
        <v>1504</v>
      </c>
      <c r="B49" s="76" t="s">
        <v>360</v>
      </c>
      <c r="C49" s="76">
        <v>12</v>
      </c>
      <c r="D49" s="87">
        <v>0.004793181294797781</v>
      </c>
      <c r="E49" s="87">
        <v>1.274145156347255</v>
      </c>
      <c r="F49" s="76" t="s">
        <v>389</v>
      </c>
      <c r="G49" s="76" t="b">
        <v>0</v>
      </c>
      <c r="H49" s="76" t="b">
        <v>0</v>
      </c>
      <c r="I49" s="76" t="b">
        <v>0</v>
      </c>
      <c r="J49" s="76" t="b">
        <v>0</v>
      </c>
      <c r="K49" s="76" t="b">
        <v>0</v>
      </c>
      <c r="L49" s="76" t="b">
        <v>0</v>
      </c>
    </row>
    <row r="50" spans="1:12" ht="15">
      <c r="A50" s="73" t="s">
        <v>363</v>
      </c>
      <c r="B50" s="76" t="s">
        <v>1491</v>
      </c>
      <c r="C50" s="76">
        <v>12</v>
      </c>
      <c r="D50" s="87">
        <v>0.004793181294797781</v>
      </c>
      <c r="E50" s="87">
        <v>0.6679292052481349</v>
      </c>
      <c r="F50" s="76" t="s">
        <v>389</v>
      </c>
      <c r="G50" s="76" t="b">
        <v>0</v>
      </c>
      <c r="H50" s="76" t="b">
        <v>0</v>
      </c>
      <c r="I50" s="76" t="b">
        <v>0</v>
      </c>
      <c r="J50" s="76" t="b">
        <v>0</v>
      </c>
      <c r="K50" s="76" t="b">
        <v>0</v>
      </c>
      <c r="L50" s="76" t="b">
        <v>0</v>
      </c>
    </row>
    <row r="51" spans="1:12" ht="15">
      <c r="A51" s="73" t="s">
        <v>1491</v>
      </c>
      <c r="B51" s="76" t="s">
        <v>1496</v>
      </c>
      <c r="C51" s="76">
        <v>12</v>
      </c>
      <c r="D51" s="87">
        <v>0.004793181294797781</v>
      </c>
      <c r="E51" s="87">
        <v>1.3233631790174365</v>
      </c>
      <c r="F51" s="76" t="s">
        <v>389</v>
      </c>
      <c r="G51" s="76" t="b">
        <v>0</v>
      </c>
      <c r="H51" s="76" t="b">
        <v>0</v>
      </c>
      <c r="I51" s="76" t="b">
        <v>0</v>
      </c>
      <c r="J51" s="76" t="b">
        <v>0</v>
      </c>
      <c r="K51" s="76" t="b">
        <v>0</v>
      </c>
      <c r="L51" s="76" t="b">
        <v>0</v>
      </c>
    </row>
    <row r="52" spans="1:12" ht="15">
      <c r="A52" s="73" t="s">
        <v>1496</v>
      </c>
      <c r="B52" s="76" t="s">
        <v>1538</v>
      </c>
      <c r="C52" s="76">
        <v>12</v>
      </c>
      <c r="D52" s="87">
        <v>0.004793181294797781</v>
      </c>
      <c r="E52" s="87">
        <v>1.9431519373058306</v>
      </c>
      <c r="F52" s="76" t="s">
        <v>389</v>
      </c>
      <c r="G52" s="76" t="b">
        <v>0</v>
      </c>
      <c r="H52" s="76" t="b">
        <v>0</v>
      </c>
      <c r="I52" s="76" t="b">
        <v>0</v>
      </c>
      <c r="J52" s="76" t="b">
        <v>0</v>
      </c>
      <c r="K52" s="76" t="b">
        <v>0</v>
      </c>
      <c r="L52" s="76" t="b">
        <v>0</v>
      </c>
    </row>
    <row r="53" spans="1:12" ht="15">
      <c r="A53" s="73" t="s">
        <v>1538</v>
      </c>
      <c r="B53" s="76" t="s">
        <v>1539</v>
      </c>
      <c r="C53" s="76">
        <v>12</v>
      </c>
      <c r="D53" s="87">
        <v>0.004793181294797781</v>
      </c>
      <c r="E53" s="87">
        <v>2.2789440392290237</v>
      </c>
      <c r="F53" s="76" t="s">
        <v>389</v>
      </c>
      <c r="G53" s="76" t="b">
        <v>0</v>
      </c>
      <c r="H53" s="76" t="b">
        <v>0</v>
      </c>
      <c r="I53" s="76" t="b">
        <v>0</v>
      </c>
      <c r="J53" s="76" t="b">
        <v>0</v>
      </c>
      <c r="K53" s="76" t="b">
        <v>0</v>
      </c>
      <c r="L53" s="76" t="b">
        <v>0</v>
      </c>
    </row>
    <row r="54" spans="1:12" ht="15">
      <c r="A54" s="73" t="s">
        <v>1539</v>
      </c>
      <c r="B54" s="76" t="s">
        <v>1540</v>
      </c>
      <c r="C54" s="76">
        <v>12</v>
      </c>
      <c r="D54" s="87">
        <v>0.004793181294797781</v>
      </c>
      <c r="E54" s="87">
        <v>2.2789440392290237</v>
      </c>
      <c r="F54" s="76" t="s">
        <v>389</v>
      </c>
      <c r="G54" s="76" t="b">
        <v>0</v>
      </c>
      <c r="H54" s="76" t="b">
        <v>0</v>
      </c>
      <c r="I54" s="76" t="b">
        <v>0</v>
      </c>
      <c r="J54" s="76" t="b">
        <v>0</v>
      </c>
      <c r="K54" s="76" t="b">
        <v>0</v>
      </c>
      <c r="L54" s="76" t="b">
        <v>0</v>
      </c>
    </row>
    <row r="55" spans="1:12" ht="15">
      <c r="A55" s="73" t="s">
        <v>1540</v>
      </c>
      <c r="B55" s="76" t="s">
        <v>1541</v>
      </c>
      <c r="C55" s="76">
        <v>12</v>
      </c>
      <c r="D55" s="87">
        <v>0.004793181294797781</v>
      </c>
      <c r="E55" s="87">
        <v>2.2789440392290237</v>
      </c>
      <c r="F55" s="76" t="s">
        <v>389</v>
      </c>
      <c r="G55" s="76" t="b">
        <v>0</v>
      </c>
      <c r="H55" s="76" t="b">
        <v>0</v>
      </c>
      <c r="I55" s="76" t="b">
        <v>0</v>
      </c>
      <c r="J55" s="76" t="b">
        <v>0</v>
      </c>
      <c r="K55" s="76" t="b">
        <v>0</v>
      </c>
      <c r="L55" s="76" t="b">
        <v>0</v>
      </c>
    </row>
    <row r="56" spans="1:12" ht="15">
      <c r="A56" s="73" t="s">
        <v>1541</v>
      </c>
      <c r="B56" s="76" t="s">
        <v>1542</v>
      </c>
      <c r="C56" s="76">
        <v>12</v>
      </c>
      <c r="D56" s="87">
        <v>0.004793181294797781</v>
      </c>
      <c r="E56" s="87">
        <v>2.2789440392290237</v>
      </c>
      <c r="F56" s="76" t="s">
        <v>389</v>
      </c>
      <c r="G56" s="76" t="b">
        <v>0</v>
      </c>
      <c r="H56" s="76" t="b">
        <v>0</v>
      </c>
      <c r="I56" s="76" t="b">
        <v>0</v>
      </c>
      <c r="J56" s="76" t="b">
        <v>0</v>
      </c>
      <c r="K56" s="76" t="b">
        <v>0</v>
      </c>
      <c r="L56" s="76" t="b">
        <v>0</v>
      </c>
    </row>
    <row r="57" spans="1:12" ht="15">
      <c r="A57" s="73" t="s">
        <v>1542</v>
      </c>
      <c r="B57" s="76" t="s">
        <v>1543</v>
      </c>
      <c r="C57" s="76">
        <v>12</v>
      </c>
      <c r="D57" s="87">
        <v>0.004793181294797781</v>
      </c>
      <c r="E57" s="87">
        <v>2.2789440392290237</v>
      </c>
      <c r="F57" s="76" t="s">
        <v>389</v>
      </c>
      <c r="G57" s="76" t="b">
        <v>0</v>
      </c>
      <c r="H57" s="76" t="b">
        <v>0</v>
      </c>
      <c r="I57" s="76" t="b">
        <v>0</v>
      </c>
      <c r="J57" s="76" t="b">
        <v>0</v>
      </c>
      <c r="K57" s="76" t="b">
        <v>0</v>
      </c>
      <c r="L57" s="76" t="b">
        <v>0</v>
      </c>
    </row>
    <row r="58" spans="1:12" ht="15">
      <c r="A58" s="73" t="s">
        <v>1543</v>
      </c>
      <c r="B58" s="76" t="s">
        <v>1492</v>
      </c>
      <c r="C58" s="76">
        <v>12</v>
      </c>
      <c r="D58" s="87">
        <v>0.004793181294797781</v>
      </c>
      <c r="E58" s="87">
        <v>1.6953674535950747</v>
      </c>
      <c r="F58" s="76" t="s">
        <v>389</v>
      </c>
      <c r="G58" s="76" t="b">
        <v>0</v>
      </c>
      <c r="H58" s="76" t="b">
        <v>0</v>
      </c>
      <c r="I58" s="76" t="b">
        <v>0</v>
      </c>
      <c r="J58" s="76" t="b">
        <v>0</v>
      </c>
      <c r="K58" s="76" t="b">
        <v>0</v>
      </c>
      <c r="L58" s="76" t="b">
        <v>0</v>
      </c>
    </row>
    <row r="59" spans="1:12" ht="15">
      <c r="A59" s="73" t="s">
        <v>1492</v>
      </c>
      <c r="B59" s="76" t="s">
        <v>1511</v>
      </c>
      <c r="C59" s="76">
        <v>12</v>
      </c>
      <c r="D59" s="87">
        <v>0.004793181294797781</v>
      </c>
      <c r="E59" s="87">
        <v>1.6080027584932486</v>
      </c>
      <c r="F59" s="76" t="s">
        <v>389</v>
      </c>
      <c r="G59" s="76" t="b">
        <v>0</v>
      </c>
      <c r="H59" s="76" t="b">
        <v>0</v>
      </c>
      <c r="I59" s="76" t="b">
        <v>0</v>
      </c>
      <c r="J59" s="76" t="b">
        <v>0</v>
      </c>
      <c r="K59" s="76" t="b">
        <v>0</v>
      </c>
      <c r="L59" s="76" t="b">
        <v>0</v>
      </c>
    </row>
    <row r="60" spans="1:12" ht="15">
      <c r="A60" s="73" t="s">
        <v>1511</v>
      </c>
      <c r="B60" s="76" t="s">
        <v>1497</v>
      </c>
      <c r="C60" s="76">
        <v>12</v>
      </c>
      <c r="D60" s="87">
        <v>0.004793181294797781</v>
      </c>
      <c r="E60" s="87">
        <v>1.8632752635965546</v>
      </c>
      <c r="F60" s="76" t="s">
        <v>389</v>
      </c>
      <c r="G60" s="76" t="b">
        <v>0</v>
      </c>
      <c r="H60" s="76" t="b">
        <v>0</v>
      </c>
      <c r="I60" s="76" t="b">
        <v>0</v>
      </c>
      <c r="J60" s="76" t="b">
        <v>0</v>
      </c>
      <c r="K60" s="76" t="b">
        <v>0</v>
      </c>
      <c r="L60" s="76" t="b">
        <v>0</v>
      </c>
    </row>
    <row r="61" spans="1:12" ht="15">
      <c r="A61" s="73" t="s">
        <v>1497</v>
      </c>
      <c r="B61" s="76" t="s">
        <v>1512</v>
      </c>
      <c r="C61" s="76">
        <v>12</v>
      </c>
      <c r="D61" s="87">
        <v>0.004793181294797781</v>
      </c>
      <c r="E61" s="87">
        <v>1.8632752635965546</v>
      </c>
      <c r="F61" s="76" t="s">
        <v>389</v>
      </c>
      <c r="G61" s="76" t="b">
        <v>0</v>
      </c>
      <c r="H61" s="76" t="b">
        <v>0</v>
      </c>
      <c r="I61" s="76" t="b">
        <v>0</v>
      </c>
      <c r="J61" s="76" t="b">
        <v>0</v>
      </c>
      <c r="K61" s="76" t="b">
        <v>0</v>
      </c>
      <c r="L61" s="76" t="b">
        <v>0</v>
      </c>
    </row>
    <row r="62" spans="1:12" ht="15">
      <c r="A62" s="73" t="s">
        <v>1512</v>
      </c>
      <c r="B62" s="76" t="s">
        <v>1491</v>
      </c>
      <c r="C62" s="76">
        <v>12</v>
      </c>
      <c r="D62" s="87">
        <v>0.004793181294797781</v>
      </c>
      <c r="E62" s="87">
        <v>1.5710191922400785</v>
      </c>
      <c r="F62" s="76" t="s">
        <v>389</v>
      </c>
      <c r="G62" s="76" t="b">
        <v>0</v>
      </c>
      <c r="H62" s="76" t="b">
        <v>0</v>
      </c>
      <c r="I62" s="76" t="b">
        <v>0</v>
      </c>
      <c r="J62" s="76" t="b">
        <v>0</v>
      </c>
      <c r="K62" s="76" t="b">
        <v>0</v>
      </c>
      <c r="L62" s="76" t="b">
        <v>0</v>
      </c>
    </row>
    <row r="63" spans="1:12" ht="15">
      <c r="A63" s="73" t="s">
        <v>1491</v>
      </c>
      <c r="B63" s="76" t="s">
        <v>1544</v>
      </c>
      <c r="C63" s="76">
        <v>12</v>
      </c>
      <c r="D63" s="87">
        <v>0.004793181294797781</v>
      </c>
      <c r="E63" s="87">
        <v>1.6591552809406298</v>
      </c>
      <c r="F63" s="76" t="s">
        <v>389</v>
      </c>
      <c r="G63" s="76" t="b">
        <v>0</v>
      </c>
      <c r="H63" s="76" t="b">
        <v>0</v>
      </c>
      <c r="I63" s="76" t="b">
        <v>0</v>
      </c>
      <c r="J63" s="76" t="b">
        <v>0</v>
      </c>
      <c r="K63" s="76" t="b">
        <v>0</v>
      </c>
      <c r="L63" s="76" t="b">
        <v>0</v>
      </c>
    </row>
    <row r="64" spans="1:12" ht="15">
      <c r="A64" s="73" t="s">
        <v>1544</v>
      </c>
      <c r="B64" s="76" t="s">
        <v>1545</v>
      </c>
      <c r="C64" s="76">
        <v>12</v>
      </c>
      <c r="D64" s="87">
        <v>0.004793181294797781</v>
      </c>
      <c r="E64" s="87">
        <v>2.2789440392290237</v>
      </c>
      <c r="F64" s="76" t="s">
        <v>389</v>
      </c>
      <c r="G64" s="76" t="b">
        <v>0</v>
      </c>
      <c r="H64" s="76" t="b">
        <v>0</v>
      </c>
      <c r="I64" s="76" t="b">
        <v>0</v>
      </c>
      <c r="J64" s="76" t="b">
        <v>0</v>
      </c>
      <c r="K64" s="76" t="b">
        <v>0</v>
      </c>
      <c r="L64" s="76" t="b">
        <v>0</v>
      </c>
    </row>
    <row r="65" spans="1:12" ht="15">
      <c r="A65" s="73" t="s">
        <v>1545</v>
      </c>
      <c r="B65" s="76" t="s">
        <v>1546</v>
      </c>
      <c r="C65" s="76">
        <v>12</v>
      </c>
      <c r="D65" s="87">
        <v>0.004793181294797781</v>
      </c>
      <c r="E65" s="87">
        <v>2.2789440392290237</v>
      </c>
      <c r="F65" s="76" t="s">
        <v>389</v>
      </c>
      <c r="G65" s="76" t="b">
        <v>0</v>
      </c>
      <c r="H65" s="76" t="b">
        <v>0</v>
      </c>
      <c r="I65" s="76" t="b">
        <v>0</v>
      </c>
      <c r="J65" s="76" t="b">
        <v>1</v>
      </c>
      <c r="K65" s="76" t="b">
        <v>0</v>
      </c>
      <c r="L65" s="76" t="b">
        <v>0</v>
      </c>
    </row>
    <row r="66" spans="1:12" ht="15">
      <c r="A66" s="73" t="s">
        <v>1546</v>
      </c>
      <c r="B66" s="76" t="s">
        <v>1499</v>
      </c>
      <c r="C66" s="76">
        <v>12</v>
      </c>
      <c r="D66" s="87">
        <v>0.004793181294797781</v>
      </c>
      <c r="E66" s="87">
        <v>2.0793716843238195</v>
      </c>
      <c r="F66" s="76" t="s">
        <v>389</v>
      </c>
      <c r="G66" s="76" t="b">
        <v>1</v>
      </c>
      <c r="H66" s="76" t="b">
        <v>0</v>
      </c>
      <c r="I66" s="76" t="b">
        <v>0</v>
      </c>
      <c r="J66" s="76" t="b">
        <v>0</v>
      </c>
      <c r="K66" s="76" t="b">
        <v>0</v>
      </c>
      <c r="L66" s="76" t="b">
        <v>0</v>
      </c>
    </row>
    <row r="67" spans="1:12" ht="15">
      <c r="A67" s="73" t="s">
        <v>1499</v>
      </c>
      <c r="B67" s="76" t="s">
        <v>1493</v>
      </c>
      <c r="C67" s="76">
        <v>12</v>
      </c>
      <c r="D67" s="87">
        <v>0.004793181294797781</v>
      </c>
      <c r="E67" s="87">
        <v>1.7435795824006264</v>
      </c>
      <c r="F67" s="76" t="s">
        <v>389</v>
      </c>
      <c r="G67" s="76" t="b">
        <v>0</v>
      </c>
      <c r="H67" s="76" t="b">
        <v>0</v>
      </c>
      <c r="I67" s="76" t="b">
        <v>0</v>
      </c>
      <c r="J67" s="76" t="b">
        <v>0</v>
      </c>
      <c r="K67" s="76" t="b">
        <v>0</v>
      </c>
      <c r="L67" s="76" t="b">
        <v>0</v>
      </c>
    </row>
    <row r="68" spans="1:12" ht="15">
      <c r="A68" s="73" t="s">
        <v>1493</v>
      </c>
      <c r="B68" s="76" t="s">
        <v>1547</v>
      </c>
      <c r="C68" s="76">
        <v>12</v>
      </c>
      <c r="D68" s="87">
        <v>0.004793181294797781</v>
      </c>
      <c r="E68" s="87">
        <v>1.9431519373058306</v>
      </c>
      <c r="F68" s="76" t="s">
        <v>389</v>
      </c>
      <c r="G68" s="76" t="b">
        <v>0</v>
      </c>
      <c r="H68" s="76" t="b">
        <v>0</v>
      </c>
      <c r="I68" s="76" t="b">
        <v>0</v>
      </c>
      <c r="J68" s="76" t="b">
        <v>0</v>
      </c>
      <c r="K68" s="76" t="b">
        <v>0</v>
      </c>
      <c r="L68" s="76" t="b">
        <v>0</v>
      </c>
    </row>
    <row r="69" spans="1:12" ht="15">
      <c r="A69" s="73" t="s">
        <v>1547</v>
      </c>
      <c r="B69" s="76" t="s">
        <v>1548</v>
      </c>
      <c r="C69" s="76">
        <v>12</v>
      </c>
      <c r="D69" s="87">
        <v>0.004793181294797781</v>
      </c>
      <c r="E69" s="87">
        <v>2.2789440392290237</v>
      </c>
      <c r="F69" s="76" t="s">
        <v>389</v>
      </c>
      <c r="G69" s="76" t="b">
        <v>0</v>
      </c>
      <c r="H69" s="76" t="b">
        <v>0</v>
      </c>
      <c r="I69" s="76" t="b">
        <v>0</v>
      </c>
      <c r="J69" s="76" t="b">
        <v>0</v>
      </c>
      <c r="K69" s="76" t="b">
        <v>0</v>
      </c>
      <c r="L69" s="76" t="b">
        <v>0</v>
      </c>
    </row>
    <row r="70" spans="1:12" ht="15">
      <c r="A70" s="73" t="s">
        <v>1548</v>
      </c>
      <c r="B70" s="76" t="s">
        <v>1549</v>
      </c>
      <c r="C70" s="76">
        <v>12</v>
      </c>
      <c r="D70" s="87">
        <v>0.004793181294797781</v>
      </c>
      <c r="E70" s="87">
        <v>2.2789440392290237</v>
      </c>
      <c r="F70" s="76" t="s">
        <v>389</v>
      </c>
      <c r="G70" s="76" t="b">
        <v>0</v>
      </c>
      <c r="H70" s="76" t="b">
        <v>0</v>
      </c>
      <c r="I70" s="76" t="b">
        <v>0</v>
      </c>
      <c r="J70" s="76" t="b">
        <v>0</v>
      </c>
      <c r="K70" s="76" t="b">
        <v>0</v>
      </c>
      <c r="L70" s="76" t="b">
        <v>0</v>
      </c>
    </row>
    <row r="71" spans="1:12" ht="15">
      <c r="A71" s="73" t="s">
        <v>1549</v>
      </c>
      <c r="B71" s="76" t="s">
        <v>1500</v>
      </c>
      <c r="C71" s="76">
        <v>12</v>
      </c>
      <c r="D71" s="87">
        <v>0.004793181294797781</v>
      </c>
      <c r="E71" s="87">
        <v>2.1028527801733423</v>
      </c>
      <c r="F71" s="76" t="s">
        <v>389</v>
      </c>
      <c r="G71" s="76" t="b">
        <v>0</v>
      </c>
      <c r="H71" s="76" t="b">
        <v>0</v>
      </c>
      <c r="I71" s="76" t="b">
        <v>0</v>
      </c>
      <c r="J71" s="76" t="b">
        <v>0</v>
      </c>
      <c r="K71" s="76" t="b">
        <v>0</v>
      </c>
      <c r="L71" s="76" t="b">
        <v>0</v>
      </c>
    </row>
    <row r="72" spans="1:12" ht="15">
      <c r="A72" s="73" t="s">
        <v>1500</v>
      </c>
      <c r="B72" s="76" t="s">
        <v>1496</v>
      </c>
      <c r="C72" s="76">
        <v>12</v>
      </c>
      <c r="D72" s="87">
        <v>0.004793181294797781</v>
      </c>
      <c r="E72" s="87">
        <v>1.7670606782501492</v>
      </c>
      <c r="F72" s="76" t="s">
        <v>389</v>
      </c>
      <c r="G72" s="76" t="b">
        <v>0</v>
      </c>
      <c r="H72" s="76" t="b">
        <v>0</v>
      </c>
      <c r="I72" s="76" t="b">
        <v>0</v>
      </c>
      <c r="J72" s="76" t="b">
        <v>0</v>
      </c>
      <c r="K72" s="76" t="b">
        <v>0</v>
      </c>
      <c r="L72" s="76" t="b">
        <v>0</v>
      </c>
    </row>
    <row r="73" spans="1:12" ht="15">
      <c r="A73" s="73" t="s">
        <v>1496</v>
      </c>
      <c r="B73" s="76" t="s">
        <v>720</v>
      </c>
      <c r="C73" s="76">
        <v>12</v>
      </c>
      <c r="D73" s="87">
        <v>0.004793181294797781</v>
      </c>
      <c r="E73" s="87">
        <v>1.5751751520112363</v>
      </c>
      <c r="F73" s="76" t="s">
        <v>389</v>
      </c>
      <c r="G73" s="76" t="b">
        <v>0</v>
      </c>
      <c r="H73" s="76" t="b">
        <v>0</v>
      </c>
      <c r="I73" s="76" t="b">
        <v>0</v>
      </c>
      <c r="J73" s="76" t="b">
        <v>0</v>
      </c>
      <c r="K73" s="76" t="b">
        <v>0</v>
      </c>
      <c r="L73" s="76" t="b">
        <v>0</v>
      </c>
    </row>
    <row r="74" spans="1:12" ht="15">
      <c r="A74" s="73" t="s">
        <v>370</v>
      </c>
      <c r="B74" s="76" t="s">
        <v>360</v>
      </c>
      <c r="C74" s="76">
        <v>11</v>
      </c>
      <c r="D74" s="87">
        <v>0.0045677445682779285</v>
      </c>
      <c r="E74" s="87">
        <v>1.3265332258069433</v>
      </c>
      <c r="F74" s="76" t="s">
        <v>389</v>
      </c>
      <c r="G74" s="76" t="b">
        <v>0</v>
      </c>
      <c r="H74" s="76" t="b">
        <v>0</v>
      </c>
      <c r="I74" s="76" t="b">
        <v>0</v>
      </c>
      <c r="J74" s="76" t="b">
        <v>0</v>
      </c>
      <c r="K74" s="76" t="b">
        <v>0</v>
      </c>
      <c r="L74" s="76" t="b">
        <v>0</v>
      </c>
    </row>
    <row r="75" spans="1:12" ht="15">
      <c r="A75" s="73" t="s">
        <v>379</v>
      </c>
      <c r="B75" s="76" t="s">
        <v>362</v>
      </c>
      <c r="C75" s="76">
        <v>10</v>
      </c>
      <c r="D75" s="87">
        <v>0.004325758708610086</v>
      </c>
      <c r="E75" s="87">
        <v>1.023269595659357</v>
      </c>
      <c r="F75" s="76" t="s">
        <v>389</v>
      </c>
      <c r="G75" s="76" t="b">
        <v>0</v>
      </c>
      <c r="H75" s="76" t="b">
        <v>0</v>
      </c>
      <c r="I75" s="76" t="b">
        <v>0</v>
      </c>
      <c r="J75" s="76" t="b">
        <v>0</v>
      </c>
      <c r="K75" s="76" t="b">
        <v>0</v>
      </c>
      <c r="L75" s="76" t="b">
        <v>0</v>
      </c>
    </row>
    <row r="76" spans="1:12" ht="15">
      <c r="A76" s="73" t="s">
        <v>362</v>
      </c>
      <c r="B76" s="76" t="s">
        <v>1552</v>
      </c>
      <c r="C76" s="76">
        <v>10</v>
      </c>
      <c r="D76" s="87">
        <v>0.004325758708610086</v>
      </c>
      <c r="E76" s="87">
        <v>1.3896423367227133</v>
      </c>
      <c r="F76" s="76" t="s">
        <v>389</v>
      </c>
      <c r="G76" s="76" t="b">
        <v>0</v>
      </c>
      <c r="H76" s="76" t="b">
        <v>0</v>
      </c>
      <c r="I76" s="76" t="b">
        <v>0</v>
      </c>
      <c r="J76" s="76" t="b">
        <v>0</v>
      </c>
      <c r="K76" s="76" t="b">
        <v>0</v>
      </c>
      <c r="L76" s="76" t="b">
        <v>0</v>
      </c>
    </row>
    <row r="77" spans="1:12" ht="15">
      <c r="A77" s="73" t="s">
        <v>1503</v>
      </c>
      <c r="B77" s="76" t="s">
        <v>360</v>
      </c>
      <c r="C77" s="76">
        <v>9</v>
      </c>
      <c r="D77" s="87">
        <v>0.00406556350541173</v>
      </c>
      <c r="E77" s="87">
        <v>1.149206419738955</v>
      </c>
      <c r="F77" s="76" t="s">
        <v>389</v>
      </c>
      <c r="G77" s="76" t="b">
        <v>0</v>
      </c>
      <c r="H77" s="76" t="b">
        <v>0</v>
      </c>
      <c r="I77" s="76" t="b">
        <v>0</v>
      </c>
      <c r="J77" s="76" t="b">
        <v>0</v>
      </c>
      <c r="K77" s="76" t="b">
        <v>0</v>
      </c>
      <c r="L77" s="76" t="b">
        <v>0</v>
      </c>
    </row>
    <row r="78" spans="1:12" ht="15">
      <c r="A78" s="73" t="s">
        <v>360</v>
      </c>
      <c r="B78" s="76" t="s">
        <v>368</v>
      </c>
      <c r="C78" s="76">
        <v>8</v>
      </c>
      <c r="D78" s="87">
        <v>0.00378512773041442</v>
      </c>
      <c r="E78" s="87">
        <v>1.1194520419928042</v>
      </c>
      <c r="F78" s="76" t="s">
        <v>389</v>
      </c>
      <c r="G78" s="76" t="b">
        <v>0</v>
      </c>
      <c r="H78" s="76" t="b">
        <v>0</v>
      </c>
      <c r="I78" s="76" t="b">
        <v>0</v>
      </c>
      <c r="J78" s="76" t="b">
        <v>0</v>
      </c>
      <c r="K78" s="76" t="b">
        <v>0</v>
      </c>
      <c r="L78" s="76" t="b">
        <v>0</v>
      </c>
    </row>
    <row r="79" spans="1:12" ht="15">
      <c r="A79" s="73" t="s">
        <v>1556</v>
      </c>
      <c r="B79" s="76" t="s">
        <v>363</v>
      </c>
      <c r="C79" s="76">
        <v>8</v>
      </c>
      <c r="D79" s="87">
        <v>0.00378512773041442</v>
      </c>
      <c r="E79" s="87">
        <v>1.2647036001144134</v>
      </c>
      <c r="F79" s="76" t="s">
        <v>389</v>
      </c>
      <c r="G79" s="76" t="b">
        <v>0</v>
      </c>
      <c r="H79" s="76" t="b">
        <v>0</v>
      </c>
      <c r="I79" s="76" t="b">
        <v>0</v>
      </c>
      <c r="J79" s="76" t="b">
        <v>0</v>
      </c>
      <c r="K79" s="76" t="b">
        <v>0</v>
      </c>
      <c r="L79" s="76" t="b">
        <v>0</v>
      </c>
    </row>
    <row r="80" spans="1:12" ht="15">
      <c r="A80" s="73" t="s">
        <v>1555</v>
      </c>
      <c r="B80" s="76" t="s">
        <v>1557</v>
      </c>
      <c r="C80" s="76">
        <v>7</v>
      </c>
      <c r="D80" s="87">
        <v>0.003481908751908267</v>
      </c>
      <c r="E80" s="87">
        <v>2.455035298284705</v>
      </c>
      <c r="F80" s="76" t="s">
        <v>389</v>
      </c>
      <c r="G80" s="76" t="b">
        <v>1</v>
      </c>
      <c r="H80" s="76" t="b">
        <v>0</v>
      </c>
      <c r="I80" s="76" t="b">
        <v>0</v>
      </c>
      <c r="J80" s="76" t="b">
        <v>0</v>
      </c>
      <c r="K80" s="76" t="b">
        <v>0</v>
      </c>
      <c r="L80" s="76" t="b">
        <v>0</v>
      </c>
    </row>
    <row r="81" spans="1:12" ht="15">
      <c r="A81" s="73" t="s">
        <v>1557</v>
      </c>
      <c r="B81" s="76" t="s">
        <v>1558</v>
      </c>
      <c r="C81" s="76">
        <v>7</v>
      </c>
      <c r="D81" s="87">
        <v>0.003481908751908267</v>
      </c>
      <c r="E81" s="87">
        <v>2.513027245262392</v>
      </c>
      <c r="F81" s="76" t="s">
        <v>389</v>
      </c>
      <c r="G81" s="76" t="b">
        <v>0</v>
      </c>
      <c r="H81" s="76" t="b">
        <v>0</v>
      </c>
      <c r="I81" s="76" t="b">
        <v>0</v>
      </c>
      <c r="J81" s="76" t="b">
        <v>0</v>
      </c>
      <c r="K81" s="76" t="b">
        <v>0</v>
      </c>
      <c r="L81" s="76" t="b">
        <v>0</v>
      </c>
    </row>
    <row r="82" spans="1:12" ht="15">
      <c r="A82" s="73" t="s">
        <v>1558</v>
      </c>
      <c r="B82" s="76" t="s">
        <v>1559</v>
      </c>
      <c r="C82" s="76">
        <v>7</v>
      </c>
      <c r="D82" s="87">
        <v>0.003481908751908267</v>
      </c>
      <c r="E82" s="87">
        <v>2.513027245262392</v>
      </c>
      <c r="F82" s="76" t="s">
        <v>389</v>
      </c>
      <c r="G82" s="76" t="b">
        <v>0</v>
      </c>
      <c r="H82" s="76" t="b">
        <v>0</v>
      </c>
      <c r="I82" s="76" t="b">
        <v>0</v>
      </c>
      <c r="J82" s="76" t="b">
        <v>0</v>
      </c>
      <c r="K82" s="76" t="b">
        <v>0</v>
      </c>
      <c r="L82" s="76" t="b">
        <v>0</v>
      </c>
    </row>
    <row r="83" spans="1:12" ht="15">
      <c r="A83" s="73" t="s">
        <v>1559</v>
      </c>
      <c r="B83" s="76" t="s">
        <v>370</v>
      </c>
      <c r="C83" s="76">
        <v>7</v>
      </c>
      <c r="D83" s="87">
        <v>0.003481908751908267</v>
      </c>
      <c r="E83" s="87">
        <v>2.244181932969812</v>
      </c>
      <c r="F83" s="76" t="s">
        <v>389</v>
      </c>
      <c r="G83" s="76" t="b">
        <v>0</v>
      </c>
      <c r="H83" s="76" t="b">
        <v>0</v>
      </c>
      <c r="I83" s="76" t="b">
        <v>0</v>
      </c>
      <c r="J83" s="76" t="b">
        <v>0</v>
      </c>
      <c r="K83" s="76" t="b">
        <v>0</v>
      </c>
      <c r="L83" s="76" t="b">
        <v>0</v>
      </c>
    </row>
    <row r="84" spans="1:12" ht="15">
      <c r="A84" s="73" t="s">
        <v>1560</v>
      </c>
      <c r="B84" s="76" t="s">
        <v>1561</v>
      </c>
      <c r="C84" s="76">
        <v>7</v>
      </c>
      <c r="D84" s="87">
        <v>0.003481908751908267</v>
      </c>
      <c r="E84" s="87">
        <v>2.513027245262392</v>
      </c>
      <c r="F84" s="76" t="s">
        <v>389</v>
      </c>
      <c r="G84" s="76" t="b">
        <v>0</v>
      </c>
      <c r="H84" s="76" t="b">
        <v>0</v>
      </c>
      <c r="I84" s="76" t="b">
        <v>0</v>
      </c>
      <c r="J84" s="76" t="b">
        <v>0</v>
      </c>
      <c r="K84" s="76" t="b">
        <v>0</v>
      </c>
      <c r="L84" s="76" t="b">
        <v>0</v>
      </c>
    </row>
    <row r="85" spans="1:12" ht="15">
      <c r="A85" s="73" t="s">
        <v>1562</v>
      </c>
      <c r="B85" s="76" t="s">
        <v>1563</v>
      </c>
      <c r="C85" s="76">
        <v>7</v>
      </c>
      <c r="D85" s="87">
        <v>0.003481908751908267</v>
      </c>
      <c r="E85" s="87">
        <v>2.513027245262392</v>
      </c>
      <c r="F85" s="76" t="s">
        <v>389</v>
      </c>
      <c r="G85" s="76" t="b">
        <v>0</v>
      </c>
      <c r="H85" s="76" t="b">
        <v>0</v>
      </c>
      <c r="I85" s="76" t="b">
        <v>0</v>
      </c>
      <c r="J85" s="76" t="b">
        <v>0</v>
      </c>
      <c r="K85" s="76" t="b">
        <v>0</v>
      </c>
      <c r="L85" s="76" t="b">
        <v>0</v>
      </c>
    </row>
    <row r="86" spans="1:12" ht="15">
      <c r="A86" s="73" t="s">
        <v>1563</v>
      </c>
      <c r="B86" s="76" t="s">
        <v>1564</v>
      </c>
      <c r="C86" s="76">
        <v>7</v>
      </c>
      <c r="D86" s="87">
        <v>0.003481908751908267</v>
      </c>
      <c r="E86" s="87">
        <v>2.513027245262392</v>
      </c>
      <c r="F86" s="76" t="s">
        <v>389</v>
      </c>
      <c r="G86" s="76" t="b">
        <v>0</v>
      </c>
      <c r="H86" s="76" t="b">
        <v>0</v>
      </c>
      <c r="I86" s="76" t="b">
        <v>0</v>
      </c>
      <c r="J86" s="76" t="b">
        <v>0</v>
      </c>
      <c r="K86" s="76" t="b">
        <v>0</v>
      </c>
      <c r="L86" s="76" t="b">
        <v>0</v>
      </c>
    </row>
    <row r="87" spans="1:12" ht="15">
      <c r="A87" s="73" t="s">
        <v>1564</v>
      </c>
      <c r="B87" s="76" t="s">
        <v>1565</v>
      </c>
      <c r="C87" s="76">
        <v>7</v>
      </c>
      <c r="D87" s="87">
        <v>0.003481908751908267</v>
      </c>
      <c r="E87" s="87">
        <v>2.513027245262392</v>
      </c>
      <c r="F87" s="76" t="s">
        <v>389</v>
      </c>
      <c r="G87" s="76" t="b">
        <v>0</v>
      </c>
      <c r="H87" s="76" t="b">
        <v>0</v>
      </c>
      <c r="I87" s="76" t="b">
        <v>0</v>
      </c>
      <c r="J87" s="76" t="b">
        <v>0</v>
      </c>
      <c r="K87" s="76" t="b">
        <v>0</v>
      </c>
      <c r="L87" s="76" t="b">
        <v>0</v>
      </c>
    </row>
    <row r="88" spans="1:12" ht="15">
      <c r="A88" s="73" t="s">
        <v>1565</v>
      </c>
      <c r="B88" s="76" t="s">
        <v>1566</v>
      </c>
      <c r="C88" s="76">
        <v>7</v>
      </c>
      <c r="D88" s="87">
        <v>0.003481908751908267</v>
      </c>
      <c r="E88" s="87">
        <v>2.513027245262392</v>
      </c>
      <c r="F88" s="76" t="s">
        <v>389</v>
      </c>
      <c r="G88" s="76" t="b">
        <v>0</v>
      </c>
      <c r="H88" s="76" t="b">
        <v>0</v>
      </c>
      <c r="I88" s="76" t="b">
        <v>0</v>
      </c>
      <c r="J88" s="76" t="b">
        <v>0</v>
      </c>
      <c r="K88" s="76" t="b">
        <v>0</v>
      </c>
      <c r="L88" s="76" t="b">
        <v>0</v>
      </c>
    </row>
    <row r="89" spans="1:12" ht="15">
      <c r="A89" s="73" t="s">
        <v>1566</v>
      </c>
      <c r="B89" s="76" t="s">
        <v>1567</v>
      </c>
      <c r="C89" s="76">
        <v>7</v>
      </c>
      <c r="D89" s="87">
        <v>0.003481908751908267</v>
      </c>
      <c r="E89" s="87">
        <v>2.513027245262392</v>
      </c>
      <c r="F89" s="76" t="s">
        <v>389</v>
      </c>
      <c r="G89" s="76" t="b">
        <v>0</v>
      </c>
      <c r="H89" s="76" t="b">
        <v>0</v>
      </c>
      <c r="I89" s="76" t="b">
        <v>0</v>
      </c>
      <c r="J89" s="76" t="b">
        <v>0</v>
      </c>
      <c r="K89" s="76" t="b">
        <v>0</v>
      </c>
      <c r="L89" s="76" t="b">
        <v>0</v>
      </c>
    </row>
    <row r="90" spans="1:12" ht="15">
      <c r="A90" s="73" t="s">
        <v>1567</v>
      </c>
      <c r="B90" s="76" t="s">
        <v>1491</v>
      </c>
      <c r="C90" s="76">
        <v>7</v>
      </c>
      <c r="D90" s="87">
        <v>0.003481908751908267</v>
      </c>
      <c r="E90" s="87">
        <v>1.667929205248135</v>
      </c>
      <c r="F90" s="76" t="s">
        <v>389</v>
      </c>
      <c r="G90" s="76" t="b">
        <v>0</v>
      </c>
      <c r="H90" s="76" t="b">
        <v>0</v>
      </c>
      <c r="I90" s="76" t="b">
        <v>0</v>
      </c>
      <c r="J90" s="76" t="b">
        <v>0</v>
      </c>
      <c r="K90" s="76" t="b">
        <v>0</v>
      </c>
      <c r="L90" s="76" t="b">
        <v>0</v>
      </c>
    </row>
    <row r="91" spans="1:12" ht="15">
      <c r="A91" s="73" t="s">
        <v>1498</v>
      </c>
      <c r="B91" s="76" t="s">
        <v>1568</v>
      </c>
      <c r="C91" s="76">
        <v>7</v>
      </c>
      <c r="D91" s="87">
        <v>0.003481908751908267</v>
      </c>
      <c r="E91" s="87">
        <v>2.1028527801733423</v>
      </c>
      <c r="F91" s="76" t="s">
        <v>389</v>
      </c>
      <c r="G91" s="76" t="b">
        <v>0</v>
      </c>
      <c r="H91" s="76" t="b">
        <v>0</v>
      </c>
      <c r="I91" s="76" t="b">
        <v>0</v>
      </c>
      <c r="J91" s="76" t="b">
        <v>0</v>
      </c>
      <c r="K91" s="76" t="b">
        <v>0</v>
      </c>
      <c r="L91" s="76" t="b">
        <v>0</v>
      </c>
    </row>
    <row r="92" spans="1:12" ht="15">
      <c r="A92" s="73" t="s">
        <v>1568</v>
      </c>
      <c r="B92" s="76" t="s">
        <v>1569</v>
      </c>
      <c r="C92" s="76">
        <v>7</v>
      </c>
      <c r="D92" s="87">
        <v>0.003481908751908267</v>
      </c>
      <c r="E92" s="87">
        <v>2.513027245262392</v>
      </c>
      <c r="F92" s="76" t="s">
        <v>389</v>
      </c>
      <c r="G92" s="76" t="b">
        <v>0</v>
      </c>
      <c r="H92" s="76" t="b">
        <v>0</v>
      </c>
      <c r="I92" s="76" t="b">
        <v>0</v>
      </c>
      <c r="J92" s="76" t="b">
        <v>0</v>
      </c>
      <c r="K92" s="76" t="b">
        <v>0</v>
      </c>
      <c r="L92" s="76" t="b">
        <v>0</v>
      </c>
    </row>
    <row r="93" spans="1:12" ht="15">
      <c r="A93" s="73" t="s">
        <v>1569</v>
      </c>
      <c r="B93" s="76" t="s">
        <v>1499</v>
      </c>
      <c r="C93" s="76">
        <v>7</v>
      </c>
      <c r="D93" s="87">
        <v>0.003481908751908267</v>
      </c>
      <c r="E93" s="87">
        <v>2.0793716843238195</v>
      </c>
      <c r="F93" s="76" t="s">
        <v>389</v>
      </c>
      <c r="G93" s="76" t="b">
        <v>0</v>
      </c>
      <c r="H93" s="76" t="b">
        <v>0</v>
      </c>
      <c r="I93" s="76" t="b">
        <v>0</v>
      </c>
      <c r="J93" s="76" t="b">
        <v>0</v>
      </c>
      <c r="K93" s="76" t="b">
        <v>0</v>
      </c>
      <c r="L93" s="76" t="b">
        <v>0</v>
      </c>
    </row>
    <row r="94" spans="1:12" ht="15">
      <c r="A94" s="73" t="s">
        <v>1499</v>
      </c>
      <c r="B94" s="76" t="s">
        <v>1570</v>
      </c>
      <c r="C94" s="76">
        <v>7</v>
      </c>
      <c r="D94" s="87">
        <v>0.003481908751908267</v>
      </c>
      <c r="E94" s="87">
        <v>2.0793716843238195</v>
      </c>
      <c r="F94" s="76" t="s">
        <v>389</v>
      </c>
      <c r="G94" s="76" t="b">
        <v>0</v>
      </c>
      <c r="H94" s="76" t="b">
        <v>0</v>
      </c>
      <c r="I94" s="76" t="b">
        <v>0</v>
      </c>
      <c r="J94" s="76" t="b">
        <v>0</v>
      </c>
      <c r="K94" s="76" t="b">
        <v>0</v>
      </c>
      <c r="L94" s="76" t="b">
        <v>0</v>
      </c>
    </row>
    <row r="95" spans="1:12" ht="15">
      <c r="A95" s="73" t="s">
        <v>1570</v>
      </c>
      <c r="B95" s="76" t="s">
        <v>1526</v>
      </c>
      <c r="C95" s="76">
        <v>7</v>
      </c>
      <c r="D95" s="87">
        <v>0.003481908751908267</v>
      </c>
      <c r="E95" s="87">
        <v>2.2119972495984106</v>
      </c>
      <c r="F95" s="76" t="s">
        <v>389</v>
      </c>
      <c r="G95" s="76" t="b">
        <v>0</v>
      </c>
      <c r="H95" s="76" t="b">
        <v>0</v>
      </c>
      <c r="I95" s="76" t="b">
        <v>0</v>
      </c>
      <c r="J95" s="76" t="b">
        <v>0</v>
      </c>
      <c r="K95" s="76" t="b">
        <v>0</v>
      </c>
      <c r="L95" s="76" t="b">
        <v>0</v>
      </c>
    </row>
    <row r="96" spans="1:12" ht="15">
      <c r="A96" s="73" t="s">
        <v>1526</v>
      </c>
      <c r="B96" s="76" t="s">
        <v>1554</v>
      </c>
      <c r="C96" s="76">
        <v>7</v>
      </c>
      <c r="D96" s="87">
        <v>0.003481908751908267</v>
      </c>
      <c r="E96" s="87">
        <v>2.1540053026207238</v>
      </c>
      <c r="F96" s="76" t="s">
        <v>389</v>
      </c>
      <c r="G96" s="76" t="b">
        <v>0</v>
      </c>
      <c r="H96" s="76" t="b">
        <v>0</v>
      </c>
      <c r="I96" s="76" t="b">
        <v>0</v>
      </c>
      <c r="J96" s="76" t="b">
        <v>0</v>
      </c>
      <c r="K96" s="76" t="b">
        <v>0</v>
      </c>
      <c r="L96" s="76" t="b">
        <v>0</v>
      </c>
    </row>
    <row r="97" spans="1:12" ht="15">
      <c r="A97" s="73" t="s">
        <v>1554</v>
      </c>
      <c r="B97" s="76" t="s">
        <v>1571</v>
      </c>
      <c r="C97" s="76">
        <v>7</v>
      </c>
      <c r="D97" s="87">
        <v>0.003481908751908267</v>
      </c>
      <c r="E97" s="87">
        <v>2.455035298284705</v>
      </c>
      <c r="F97" s="76" t="s">
        <v>389</v>
      </c>
      <c r="G97" s="76" t="b">
        <v>0</v>
      </c>
      <c r="H97" s="76" t="b">
        <v>0</v>
      </c>
      <c r="I97" s="76" t="b">
        <v>0</v>
      </c>
      <c r="J97" s="76" t="b">
        <v>0</v>
      </c>
      <c r="K97" s="76" t="b">
        <v>0</v>
      </c>
      <c r="L97" s="76" t="b">
        <v>0</v>
      </c>
    </row>
    <row r="98" spans="1:12" ht="15">
      <c r="A98" s="73" t="s">
        <v>1571</v>
      </c>
      <c r="B98" s="76" t="s">
        <v>1526</v>
      </c>
      <c r="C98" s="76">
        <v>7</v>
      </c>
      <c r="D98" s="87">
        <v>0.003481908751908267</v>
      </c>
      <c r="E98" s="87">
        <v>2.2119972495984106</v>
      </c>
      <c r="F98" s="76" t="s">
        <v>389</v>
      </c>
      <c r="G98" s="76" t="b">
        <v>0</v>
      </c>
      <c r="H98" s="76" t="b">
        <v>0</v>
      </c>
      <c r="I98" s="76" t="b">
        <v>0</v>
      </c>
      <c r="J98" s="76" t="b">
        <v>0</v>
      </c>
      <c r="K98" s="76" t="b">
        <v>0</v>
      </c>
      <c r="L98" s="76" t="b">
        <v>0</v>
      </c>
    </row>
    <row r="99" spans="1:12" ht="15">
      <c r="A99" s="73" t="s">
        <v>1526</v>
      </c>
      <c r="B99" s="76" t="s">
        <v>1572</v>
      </c>
      <c r="C99" s="76">
        <v>7</v>
      </c>
      <c r="D99" s="87">
        <v>0.003481908751908267</v>
      </c>
      <c r="E99" s="87">
        <v>2.2119972495984106</v>
      </c>
      <c r="F99" s="76" t="s">
        <v>389</v>
      </c>
      <c r="G99" s="76" t="b">
        <v>0</v>
      </c>
      <c r="H99" s="76" t="b">
        <v>0</v>
      </c>
      <c r="I99" s="76" t="b">
        <v>0</v>
      </c>
      <c r="J99" s="76" t="b">
        <v>0</v>
      </c>
      <c r="K99" s="76" t="b">
        <v>0</v>
      </c>
      <c r="L99" s="76" t="b">
        <v>0</v>
      </c>
    </row>
    <row r="100" spans="1:12" ht="15">
      <c r="A100" s="73" t="s">
        <v>1572</v>
      </c>
      <c r="B100" s="76" t="s">
        <v>1573</v>
      </c>
      <c r="C100" s="76">
        <v>7</v>
      </c>
      <c r="D100" s="87">
        <v>0.003481908751908267</v>
      </c>
      <c r="E100" s="87">
        <v>2.513027245262392</v>
      </c>
      <c r="F100" s="76" t="s">
        <v>389</v>
      </c>
      <c r="G100" s="76" t="b">
        <v>0</v>
      </c>
      <c r="H100" s="76" t="b">
        <v>0</v>
      </c>
      <c r="I100" s="76" t="b">
        <v>0</v>
      </c>
      <c r="J100" s="76" t="b">
        <v>0</v>
      </c>
      <c r="K100" s="76" t="b">
        <v>0</v>
      </c>
      <c r="L100" s="76" t="b">
        <v>0</v>
      </c>
    </row>
    <row r="101" spans="1:12" ht="15">
      <c r="A101" s="73" t="s">
        <v>1573</v>
      </c>
      <c r="B101" s="76" t="s">
        <v>1574</v>
      </c>
      <c r="C101" s="76">
        <v>7</v>
      </c>
      <c r="D101" s="87">
        <v>0.003481908751908267</v>
      </c>
      <c r="E101" s="87">
        <v>2.513027245262392</v>
      </c>
      <c r="F101" s="76" t="s">
        <v>389</v>
      </c>
      <c r="G101" s="76" t="b">
        <v>0</v>
      </c>
      <c r="H101" s="76" t="b">
        <v>0</v>
      </c>
      <c r="I101" s="76" t="b">
        <v>0</v>
      </c>
      <c r="J101" s="76" t="b">
        <v>0</v>
      </c>
      <c r="K101" s="76" t="b">
        <v>0</v>
      </c>
      <c r="L101" s="76" t="b">
        <v>0</v>
      </c>
    </row>
    <row r="102" spans="1:12" ht="15">
      <c r="A102" s="73" t="s">
        <v>1574</v>
      </c>
      <c r="B102" s="76" t="s">
        <v>373</v>
      </c>
      <c r="C102" s="76">
        <v>7</v>
      </c>
      <c r="D102" s="87">
        <v>0.003481908751908267</v>
      </c>
      <c r="E102" s="87">
        <v>1.9109672539344293</v>
      </c>
      <c r="F102" s="76" t="s">
        <v>389</v>
      </c>
      <c r="G102" s="76" t="b">
        <v>0</v>
      </c>
      <c r="H102" s="76" t="b">
        <v>0</v>
      </c>
      <c r="I102" s="76" t="b">
        <v>0</v>
      </c>
      <c r="J102" s="76" t="b">
        <v>0</v>
      </c>
      <c r="K102" s="76" t="b">
        <v>0</v>
      </c>
      <c r="L102" s="76" t="b">
        <v>0</v>
      </c>
    </row>
    <row r="103" spans="1:12" ht="15">
      <c r="A103" s="73" t="s">
        <v>373</v>
      </c>
      <c r="B103" s="76" t="s">
        <v>1575</v>
      </c>
      <c r="C103" s="76">
        <v>7</v>
      </c>
      <c r="D103" s="87">
        <v>0.003481908751908267</v>
      </c>
      <c r="E103" s="87">
        <v>1.9109672539344293</v>
      </c>
      <c r="F103" s="76" t="s">
        <v>389</v>
      </c>
      <c r="G103" s="76" t="b">
        <v>0</v>
      </c>
      <c r="H103" s="76" t="b">
        <v>0</v>
      </c>
      <c r="I103" s="76" t="b">
        <v>0</v>
      </c>
      <c r="J103" s="76" t="b">
        <v>0</v>
      </c>
      <c r="K103" s="76" t="b">
        <v>0</v>
      </c>
      <c r="L103" s="76" t="b">
        <v>0</v>
      </c>
    </row>
    <row r="104" spans="1:12" ht="15">
      <c r="A104" s="73" t="s">
        <v>1575</v>
      </c>
      <c r="B104" s="76" t="s">
        <v>1576</v>
      </c>
      <c r="C104" s="76">
        <v>7</v>
      </c>
      <c r="D104" s="87">
        <v>0.003481908751908267</v>
      </c>
      <c r="E104" s="87">
        <v>2.513027245262392</v>
      </c>
      <c r="F104" s="76" t="s">
        <v>389</v>
      </c>
      <c r="G104" s="76" t="b">
        <v>0</v>
      </c>
      <c r="H104" s="76" t="b">
        <v>0</v>
      </c>
      <c r="I104" s="76" t="b">
        <v>0</v>
      </c>
      <c r="J104" s="76" t="b">
        <v>0</v>
      </c>
      <c r="K104" s="76" t="b">
        <v>0</v>
      </c>
      <c r="L104" s="76" t="b">
        <v>0</v>
      </c>
    </row>
    <row r="105" spans="1:12" ht="15">
      <c r="A105" s="73" t="s">
        <v>1576</v>
      </c>
      <c r="B105" s="76" t="s">
        <v>1577</v>
      </c>
      <c r="C105" s="76">
        <v>7</v>
      </c>
      <c r="D105" s="87">
        <v>0.003481908751908267</v>
      </c>
      <c r="E105" s="87">
        <v>2.513027245262392</v>
      </c>
      <c r="F105" s="76" t="s">
        <v>389</v>
      </c>
      <c r="G105" s="76" t="b">
        <v>0</v>
      </c>
      <c r="H105" s="76" t="b">
        <v>0</v>
      </c>
      <c r="I105" s="76" t="b">
        <v>0</v>
      </c>
      <c r="J105" s="76" t="b">
        <v>0</v>
      </c>
      <c r="K105" s="76" t="b">
        <v>0</v>
      </c>
      <c r="L105" s="76" t="b">
        <v>0</v>
      </c>
    </row>
    <row r="106" spans="1:12" ht="15">
      <c r="A106" s="73" t="s">
        <v>1577</v>
      </c>
      <c r="B106" s="76" t="s">
        <v>1503</v>
      </c>
      <c r="C106" s="76">
        <v>7</v>
      </c>
      <c r="D106" s="87">
        <v>0.003481908751908267</v>
      </c>
      <c r="E106" s="87">
        <v>2.1820340262209674</v>
      </c>
      <c r="F106" s="76" t="s">
        <v>389</v>
      </c>
      <c r="G106" s="76" t="b">
        <v>0</v>
      </c>
      <c r="H106" s="76" t="b">
        <v>0</v>
      </c>
      <c r="I106" s="76" t="b">
        <v>0</v>
      </c>
      <c r="J106" s="76" t="b">
        <v>0</v>
      </c>
      <c r="K106" s="76" t="b">
        <v>0</v>
      </c>
      <c r="L106" s="76" t="b">
        <v>0</v>
      </c>
    </row>
    <row r="107" spans="1:12" ht="15">
      <c r="A107" s="73" t="s">
        <v>1552</v>
      </c>
      <c r="B107" s="76" t="s">
        <v>1578</v>
      </c>
      <c r="C107" s="76">
        <v>7</v>
      </c>
      <c r="D107" s="87">
        <v>0.003481908751908267</v>
      </c>
      <c r="E107" s="87">
        <v>2.4038827758373236</v>
      </c>
      <c r="F107" s="76" t="s">
        <v>389</v>
      </c>
      <c r="G107" s="76" t="b">
        <v>0</v>
      </c>
      <c r="H107" s="76" t="b">
        <v>0</v>
      </c>
      <c r="I107" s="76" t="b">
        <v>0</v>
      </c>
      <c r="J107" s="76" t="b">
        <v>0</v>
      </c>
      <c r="K107" s="76" t="b">
        <v>0</v>
      </c>
      <c r="L107" s="76" t="b">
        <v>0</v>
      </c>
    </row>
    <row r="108" spans="1:12" ht="15">
      <c r="A108" s="73" t="s">
        <v>1578</v>
      </c>
      <c r="B108" s="76" t="s">
        <v>1550</v>
      </c>
      <c r="C108" s="76">
        <v>7</v>
      </c>
      <c r="D108" s="87">
        <v>0.003481908751908267</v>
      </c>
      <c r="E108" s="87">
        <v>2.3167326001184234</v>
      </c>
      <c r="F108" s="76" t="s">
        <v>389</v>
      </c>
      <c r="G108" s="76" t="b">
        <v>0</v>
      </c>
      <c r="H108" s="76" t="b">
        <v>0</v>
      </c>
      <c r="I108" s="76" t="b">
        <v>0</v>
      </c>
      <c r="J108" s="76" t="b">
        <v>0</v>
      </c>
      <c r="K108" s="76" t="b">
        <v>0</v>
      </c>
      <c r="L108" s="76" t="b">
        <v>0</v>
      </c>
    </row>
    <row r="109" spans="1:12" ht="15">
      <c r="A109" s="73" t="s">
        <v>1550</v>
      </c>
      <c r="B109" s="76" t="s">
        <v>1491</v>
      </c>
      <c r="C109" s="76">
        <v>7</v>
      </c>
      <c r="D109" s="87">
        <v>0.003481908751908267</v>
      </c>
      <c r="E109" s="87">
        <v>1.4716345601041667</v>
      </c>
      <c r="F109" s="76" t="s">
        <v>389</v>
      </c>
      <c r="G109" s="76" t="b">
        <v>0</v>
      </c>
      <c r="H109" s="76" t="b">
        <v>0</v>
      </c>
      <c r="I109" s="76" t="b">
        <v>0</v>
      </c>
      <c r="J109" s="76" t="b">
        <v>0</v>
      </c>
      <c r="K109" s="76" t="b">
        <v>0</v>
      </c>
      <c r="L109" s="76" t="b">
        <v>0</v>
      </c>
    </row>
    <row r="110" spans="1:12" ht="15">
      <c r="A110" s="73" t="s">
        <v>1498</v>
      </c>
      <c r="B110" s="76" t="s">
        <v>1556</v>
      </c>
      <c r="C110" s="76">
        <v>7</v>
      </c>
      <c r="D110" s="87">
        <v>0.003481908751908267</v>
      </c>
      <c r="E110" s="87">
        <v>2.0448608331956555</v>
      </c>
      <c r="F110" s="76" t="s">
        <v>389</v>
      </c>
      <c r="G110" s="76" t="b">
        <v>0</v>
      </c>
      <c r="H110" s="76" t="b">
        <v>0</v>
      </c>
      <c r="I110" s="76" t="b">
        <v>0</v>
      </c>
      <c r="J110" s="76" t="b">
        <v>0</v>
      </c>
      <c r="K110" s="76" t="b">
        <v>0</v>
      </c>
      <c r="L110" s="76" t="b">
        <v>0</v>
      </c>
    </row>
    <row r="111" spans="1:12" ht="15">
      <c r="A111" s="73" t="s">
        <v>363</v>
      </c>
      <c r="B111" s="76" t="s">
        <v>1579</v>
      </c>
      <c r="C111" s="76">
        <v>7</v>
      </c>
      <c r="D111" s="87">
        <v>0.003481908751908267</v>
      </c>
      <c r="E111" s="87">
        <v>1.2789440392290237</v>
      </c>
      <c r="F111" s="76" t="s">
        <v>389</v>
      </c>
      <c r="G111" s="76" t="b">
        <v>0</v>
      </c>
      <c r="H111" s="76" t="b">
        <v>0</v>
      </c>
      <c r="I111" s="76" t="b">
        <v>0</v>
      </c>
      <c r="J111" s="76" t="b">
        <v>0</v>
      </c>
      <c r="K111" s="76" t="b">
        <v>0</v>
      </c>
      <c r="L111" s="76" t="b">
        <v>0</v>
      </c>
    </row>
    <row r="112" spans="1:12" ht="15">
      <c r="A112" s="73" t="s">
        <v>1583</v>
      </c>
      <c r="B112" s="76" t="s">
        <v>1555</v>
      </c>
      <c r="C112" s="76">
        <v>5</v>
      </c>
      <c r="D112" s="87">
        <v>0.002792912832044644</v>
      </c>
      <c r="E112" s="87">
        <v>2.579974034893005</v>
      </c>
      <c r="F112" s="76" t="s">
        <v>389</v>
      </c>
      <c r="G112" s="76" t="b">
        <v>0</v>
      </c>
      <c r="H112" s="76" t="b">
        <v>0</v>
      </c>
      <c r="I112" s="76" t="b">
        <v>0</v>
      </c>
      <c r="J112" s="76" t="b">
        <v>1</v>
      </c>
      <c r="K112" s="76" t="b">
        <v>0</v>
      </c>
      <c r="L112" s="76" t="b">
        <v>0</v>
      </c>
    </row>
    <row r="113" spans="1:12" ht="15">
      <c r="A113" s="73" t="s">
        <v>368</v>
      </c>
      <c r="B113" s="76" t="s">
        <v>1584</v>
      </c>
      <c r="C113" s="76">
        <v>5</v>
      </c>
      <c r="D113" s="87">
        <v>0.002792912832044644</v>
      </c>
      <c r="E113" s="87">
        <v>2.2119972495984106</v>
      </c>
      <c r="F113" s="76" t="s">
        <v>389</v>
      </c>
      <c r="G113" s="76" t="b">
        <v>0</v>
      </c>
      <c r="H113" s="76" t="b">
        <v>0</v>
      </c>
      <c r="I113" s="76" t="b">
        <v>0</v>
      </c>
      <c r="J113" s="76" t="b">
        <v>0</v>
      </c>
      <c r="K113" s="76" t="b">
        <v>0</v>
      </c>
      <c r="L113" s="76" t="b">
        <v>0</v>
      </c>
    </row>
    <row r="114" spans="1:12" ht="15">
      <c r="A114" s="73" t="s">
        <v>1584</v>
      </c>
      <c r="B114" s="76" t="s">
        <v>1585</v>
      </c>
      <c r="C114" s="76">
        <v>5</v>
      </c>
      <c r="D114" s="87">
        <v>0.002792912832044644</v>
      </c>
      <c r="E114" s="87">
        <v>2.6591552809406296</v>
      </c>
      <c r="F114" s="76" t="s">
        <v>389</v>
      </c>
      <c r="G114" s="76" t="b">
        <v>0</v>
      </c>
      <c r="H114" s="76" t="b">
        <v>0</v>
      </c>
      <c r="I114" s="76" t="b">
        <v>0</v>
      </c>
      <c r="J114" s="76" t="b">
        <v>0</v>
      </c>
      <c r="K114" s="76" t="b">
        <v>0</v>
      </c>
      <c r="L114" s="76" t="b">
        <v>0</v>
      </c>
    </row>
    <row r="115" spans="1:12" ht="15">
      <c r="A115" s="73" t="s">
        <v>1585</v>
      </c>
      <c r="B115" s="76" t="s">
        <v>1560</v>
      </c>
      <c r="C115" s="76">
        <v>5</v>
      </c>
      <c r="D115" s="87">
        <v>0.002792912832044644</v>
      </c>
      <c r="E115" s="87">
        <v>2.513027245262392</v>
      </c>
      <c r="F115" s="76" t="s">
        <v>389</v>
      </c>
      <c r="G115" s="76" t="b">
        <v>0</v>
      </c>
      <c r="H115" s="76" t="b">
        <v>0</v>
      </c>
      <c r="I115" s="76" t="b">
        <v>0</v>
      </c>
      <c r="J115" s="76" t="b">
        <v>0</v>
      </c>
      <c r="K115" s="76" t="b">
        <v>0</v>
      </c>
      <c r="L115" s="76" t="b">
        <v>0</v>
      </c>
    </row>
    <row r="116" spans="1:12" ht="15">
      <c r="A116" s="73" t="s">
        <v>1561</v>
      </c>
      <c r="B116" s="76" t="s">
        <v>1586</v>
      </c>
      <c r="C116" s="76">
        <v>5</v>
      </c>
      <c r="D116" s="87">
        <v>0.002792912832044644</v>
      </c>
      <c r="E116" s="87">
        <v>2.513027245262392</v>
      </c>
      <c r="F116" s="76" t="s">
        <v>389</v>
      </c>
      <c r="G116" s="76" t="b">
        <v>0</v>
      </c>
      <c r="H116" s="76" t="b">
        <v>0</v>
      </c>
      <c r="I116" s="76" t="b">
        <v>0</v>
      </c>
      <c r="J116" s="76" t="b">
        <v>0</v>
      </c>
      <c r="K116" s="76" t="b">
        <v>0</v>
      </c>
      <c r="L116" s="76" t="b">
        <v>0</v>
      </c>
    </row>
    <row r="117" spans="1:12" ht="15">
      <c r="A117" s="73" t="s">
        <v>1586</v>
      </c>
      <c r="B117" s="76" t="s">
        <v>379</v>
      </c>
      <c r="C117" s="76">
        <v>5</v>
      </c>
      <c r="D117" s="87">
        <v>0.002792912832044644</v>
      </c>
      <c r="E117" s="87">
        <v>1.9779140435650426</v>
      </c>
      <c r="F117" s="76" t="s">
        <v>389</v>
      </c>
      <c r="G117" s="76" t="b">
        <v>0</v>
      </c>
      <c r="H117" s="76" t="b">
        <v>0</v>
      </c>
      <c r="I117" s="76" t="b">
        <v>0</v>
      </c>
      <c r="J117" s="76" t="b">
        <v>0</v>
      </c>
      <c r="K117" s="76" t="b">
        <v>0</v>
      </c>
      <c r="L117" s="76" t="b">
        <v>0</v>
      </c>
    </row>
    <row r="118" spans="1:12" ht="15">
      <c r="A118" s="73" t="s">
        <v>379</v>
      </c>
      <c r="B118" s="76" t="s">
        <v>363</v>
      </c>
      <c r="C118" s="76">
        <v>5</v>
      </c>
      <c r="D118" s="87">
        <v>0.002792912832044644</v>
      </c>
      <c r="E118" s="87">
        <v>0.6019457684328394</v>
      </c>
      <c r="F118" s="76" t="s">
        <v>389</v>
      </c>
      <c r="G118" s="76" t="b">
        <v>0</v>
      </c>
      <c r="H118" s="76" t="b">
        <v>0</v>
      </c>
      <c r="I118" s="76" t="b">
        <v>0</v>
      </c>
      <c r="J118" s="76" t="b">
        <v>0</v>
      </c>
      <c r="K118" s="76" t="b">
        <v>0</v>
      </c>
      <c r="L118" s="76" t="b">
        <v>0</v>
      </c>
    </row>
    <row r="119" spans="1:12" ht="15">
      <c r="A119" s="73" t="s">
        <v>363</v>
      </c>
      <c r="B119" s="76" t="s">
        <v>570</v>
      </c>
      <c r="C119" s="76">
        <v>5</v>
      </c>
      <c r="D119" s="87">
        <v>0.002792912832044644</v>
      </c>
      <c r="E119" s="87">
        <v>1.2789440392290237</v>
      </c>
      <c r="F119" s="76" t="s">
        <v>389</v>
      </c>
      <c r="G119" s="76" t="b">
        <v>0</v>
      </c>
      <c r="H119" s="76" t="b">
        <v>0</v>
      </c>
      <c r="I119" s="76" t="b">
        <v>0</v>
      </c>
      <c r="J119" s="76" t="b">
        <v>0</v>
      </c>
      <c r="K119" s="76" t="b">
        <v>0</v>
      </c>
      <c r="L119" s="76" t="b">
        <v>0</v>
      </c>
    </row>
    <row r="120" spans="1:12" ht="15">
      <c r="A120" s="73" t="s">
        <v>364</v>
      </c>
      <c r="B120" s="76" t="s">
        <v>365</v>
      </c>
      <c r="C120" s="76">
        <v>4</v>
      </c>
      <c r="D120" s="87">
        <v>0.0023965906473988907</v>
      </c>
      <c r="E120" s="87">
        <v>2.7560652939486863</v>
      </c>
      <c r="F120" s="76" t="s">
        <v>389</v>
      </c>
      <c r="G120" s="76" t="b">
        <v>0</v>
      </c>
      <c r="H120" s="76" t="b">
        <v>0</v>
      </c>
      <c r="I120" s="76" t="b">
        <v>0</v>
      </c>
      <c r="J120" s="76" t="b">
        <v>0</v>
      </c>
      <c r="K120" s="76" t="b">
        <v>0</v>
      </c>
      <c r="L120" s="76" t="b">
        <v>0</v>
      </c>
    </row>
    <row r="121" spans="1:12" ht="15">
      <c r="A121" s="73" t="s">
        <v>365</v>
      </c>
      <c r="B121" s="76" t="s">
        <v>366</v>
      </c>
      <c r="C121" s="76">
        <v>4</v>
      </c>
      <c r="D121" s="87">
        <v>0.0023965906473988907</v>
      </c>
      <c r="E121" s="87">
        <v>2.7560652939486863</v>
      </c>
      <c r="F121" s="76" t="s">
        <v>389</v>
      </c>
      <c r="G121" s="76" t="b">
        <v>0</v>
      </c>
      <c r="H121" s="76" t="b">
        <v>0</v>
      </c>
      <c r="I121" s="76" t="b">
        <v>0</v>
      </c>
      <c r="J121" s="76" t="b">
        <v>0</v>
      </c>
      <c r="K121" s="76" t="b">
        <v>1</v>
      </c>
      <c r="L121" s="76" t="b">
        <v>0</v>
      </c>
    </row>
    <row r="122" spans="1:12" ht="15">
      <c r="A122" s="73" t="s">
        <v>366</v>
      </c>
      <c r="B122" s="76" t="s">
        <v>367</v>
      </c>
      <c r="C122" s="76">
        <v>4</v>
      </c>
      <c r="D122" s="87">
        <v>0.0023965906473988907</v>
      </c>
      <c r="E122" s="87">
        <v>2.7560652939486863</v>
      </c>
      <c r="F122" s="76" t="s">
        <v>389</v>
      </c>
      <c r="G122" s="76" t="b">
        <v>0</v>
      </c>
      <c r="H122" s="76" t="b">
        <v>1</v>
      </c>
      <c r="I122" s="76" t="b">
        <v>0</v>
      </c>
      <c r="J122" s="76" t="b">
        <v>0</v>
      </c>
      <c r="K122" s="76" t="b">
        <v>0</v>
      </c>
      <c r="L122" s="76" t="b">
        <v>0</v>
      </c>
    </row>
    <row r="123" spans="1:12" ht="15">
      <c r="A123" s="73" t="s">
        <v>367</v>
      </c>
      <c r="B123" s="76" t="s">
        <v>368</v>
      </c>
      <c r="C123" s="76">
        <v>4</v>
      </c>
      <c r="D123" s="87">
        <v>0.0023965906473988907</v>
      </c>
      <c r="E123" s="87">
        <v>2.2119972495984106</v>
      </c>
      <c r="F123" s="76" t="s">
        <v>389</v>
      </c>
      <c r="G123" s="76" t="b">
        <v>0</v>
      </c>
      <c r="H123" s="76" t="b">
        <v>0</v>
      </c>
      <c r="I123" s="76" t="b">
        <v>0</v>
      </c>
      <c r="J123" s="76" t="b">
        <v>0</v>
      </c>
      <c r="K123" s="76" t="b">
        <v>0</v>
      </c>
      <c r="L123" s="76" t="b">
        <v>0</v>
      </c>
    </row>
    <row r="124" spans="1:12" ht="15">
      <c r="A124" s="73" t="s">
        <v>368</v>
      </c>
      <c r="B124" s="76" t="s">
        <v>369</v>
      </c>
      <c r="C124" s="76">
        <v>4</v>
      </c>
      <c r="D124" s="87">
        <v>0.0023965906473988907</v>
      </c>
      <c r="E124" s="87">
        <v>2.2119972495984106</v>
      </c>
      <c r="F124" s="76" t="s">
        <v>389</v>
      </c>
      <c r="G124" s="76" t="b">
        <v>0</v>
      </c>
      <c r="H124" s="76" t="b">
        <v>0</v>
      </c>
      <c r="I124" s="76" t="b">
        <v>0</v>
      </c>
      <c r="J124" s="76" t="b">
        <v>0</v>
      </c>
      <c r="K124" s="76" t="b">
        <v>0</v>
      </c>
      <c r="L124" s="76" t="b">
        <v>0</v>
      </c>
    </row>
    <row r="125" spans="1:12" ht="15">
      <c r="A125" s="73" t="s">
        <v>369</v>
      </c>
      <c r="B125" s="76" t="s">
        <v>370</v>
      </c>
      <c r="C125" s="76">
        <v>4</v>
      </c>
      <c r="D125" s="87">
        <v>0.0023965906473988907</v>
      </c>
      <c r="E125" s="87">
        <v>2.244181932969812</v>
      </c>
      <c r="F125" s="76" t="s">
        <v>389</v>
      </c>
      <c r="G125" s="76" t="b">
        <v>0</v>
      </c>
      <c r="H125" s="76" t="b">
        <v>0</v>
      </c>
      <c r="I125" s="76" t="b">
        <v>0</v>
      </c>
      <c r="J125" s="76" t="b">
        <v>0</v>
      </c>
      <c r="K125" s="76" t="b">
        <v>0</v>
      </c>
      <c r="L125" s="76" t="b">
        <v>0</v>
      </c>
    </row>
    <row r="126" spans="1:12" ht="15">
      <c r="A126" s="73" t="s">
        <v>360</v>
      </c>
      <c r="B126" s="76" t="s">
        <v>371</v>
      </c>
      <c r="C126" s="76">
        <v>4</v>
      </c>
      <c r="D126" s="87">
        <v>0.0023965906473988907</v>
      </c>
      <c r="E126" s="87">
        <v>1.2655800776710422</v>
      </c>
      <c r="F126" s="76" t="s">
        <v>389</v>
      </c>
      <c r="G126" s="76" t="b">
        <v>0</v>
      </c>
      <c r="H126" s="76" t="b">
        <v>0</v>
      </c>
      <c r="I126" s="76" t="b">
        <v>0</v>
      </c>
      <c r="J126" s="76" t="b">
        <v>0</v>
      </c>
      <c r="K126" s="76" t="b">
        <v>0</v>
      </c>
      <c r="L126" s="76" t="b">
        <v>0</v>
      </c>
    </row>
    <row r="127" spans="1:12" ht="15">
      <c r="A127" s="73" t="s">
        <v>371</v>
      </c>
      <c r="B127" s="76" t="s">
        <v>372</v>
      </c>
      <c r="C127" s="76">
        <v>4</v>
      </c>
      <c r="D127" s="87">
        <v>0.0023965906473988907</v>
      </c>
      <c r="E127" s="87">
        <v>2.5622452679325733</v>
      </c>
      <c r="F127" s="76" t="s">
        <v>389</v>
      </c>
      <c r="G127" s="76" t="b">
        <v>0</v>
      </c>
      <c r="H127" s="76" t="b">
        <v>0</v>
      </c>
      <c r="I127" s="76" t="b">
        <v>0</v>
      </c>
      <c r="J127" s="76" t="b">
        <v>0</v>
      </c>
      <c r="K127" s="76" t="b">
        <v>0</v>
      </c>
      <c r="L127" s="76" t="b">
        <v>0</v>
      </c>
    </row>
    <row r="128" spans="1:12" ht="15">
      <c r="A128" s="73" t="s">
        <v>372</v>
      </c>
      <c r="B128" s="76" t="s">
        <v>361</v>
      </c>
      <c r="C128" s="76">
        <v>4</v>
      </c>
      <c r="D128" s="87">
        <v>0.0023965906473988907</v>
      </c>
      <c r="E128" s="87">
        <v>2.416117232254335</v>
      </c>
      <c r="F128" s="76" t="s">
        <v>389</v>
      </c>
      <c r="G128" s="76" t="b">
        <v>0</v>
      </c>
      <c r="H128" s="76" t="b">
        <v>0</v>
      </c>
      <c r="I128" s="76" t="b">
        <v>0</v>
      </c>
      <c r="J128" s="76" t="b">
        <v>0</v>
      </c>
      <c r="K128" s="76" t="b">
        <v>0</v>
      </c>
      <c r="L128" s="76" t="b">
        <v>0</v>
      </c>
    </row>
    <row r="129" spans="1:12" ht="15">
      <c r="A129" s="73" t="s">
        <v>363</v>
      </c>
      <c r="B129" s="76" t="s">
        <v>373</v>
      </c>
      <c r="C129" s="76">
        <v>4</v>
      </c>
      <c r="D129" s="87">
        <v>0.0023965906473988907</v>
      </c>
      <c r="E129" s="87">
        <v>0.4338459992147669</v>
      </c>
      <c r="F129" s="76" t="s">
        <v>389</v>
      </c>
      <c r="G129" s="76" t="b">
        <v>0</v>
      </c>
      <c r="H129" s="76" t="b">
        <v>0</v>
      </c>
      <c r="I129" s="76" t="b">
        <v>0</v>
      </c>
      <c r="J129" s="76" t="b">
        <v>0</v>
      </c>
      <c r="K129" s="76" t="b">
        <v>0</v>
      </c>
      <c r="L129" s="76" t="b">
        <v>0</v>
      </c>
    </row>
    <row r="130" spans="1:12" ht="15">
      <c r="A130" s="73" t="s">
        <v>373</v>
      </c>
      <c r="B130" s="76" t="s">
        <v>374</v>
      </c>
      <c r="C130" s="76">
        <v>4</v>
      </c>
      <c r="D130" s="87">
        <v>0.0023965906473988907</v>
      </c>
      <c r="E130" s="87">
        <v>1.9109672539344293</v>
      </c>
      <c r="F130" s="76" t="s">
        <v>389</v>
      </c>
      <c r="G130" s="76" t="b">
        <v>0</v>
      </c>
      <c r="H130" s="76" t="b">
        <v>0</v>
      </c>
      <c r="I130" s="76" t="b">
        <v>0</v>
      </c>
      <c r="J130" s="76" t="b">
        <v>0</v>
      </c>
      <c r="K130" s="76" t="b">
        <v>0</v>
      </c>
      <c r="L130" s="76" t="b">
        <v>0</v>
      </c>
    </row>
    <row r="131" spans="1:12" ht="15">
      <c r="A131" s="73" t="s">
        <v>374</v>
      </c>
      <c r="B131" s="76" t="s">
        <v>375</v>
      </c>
      <c r="C131" s="76">
        <v>4</v>
      </c>
      <c r="D131" s="87">
        <v>0.0023965906473988907</v>
      </c>
      <c r="E131" s="87">
        <v>2.7560652939486863</v>
      </c>
      <c r="F131" s="76" t="s">
        <v>389</v>
      </c>
      <c r="G131" s="76" t="b">
        <v>0</v>
      </c>
      <c r="H131" s="76" t="b">
        <v>0</v>
      </c>
      <c r="I131" s="76" t="b">
        <v>0</v>
      </c>
      <c r="J131" s="76" t="b">
        <v>0</v>
      </c>
      <c r="K131" s="76" t="b">
        <v>0</v>
      </c>
      <c r="L131" s="76" t="b">
        <v>0</v>
      </c>
    </row>
    <row r="132" spans="1:12" ht="15">
      <c r="A132" s="73" t="s">
        <v>375</v>
      </c>
      <c r="B132" s="76" t="s">
        <v>376</v>
      </c>
      <c r="C132" s="76">
        <v>4</v>
      </c>
      <c r="D132" s="87">
        <v>0.0023965906473988907</v>
      </c>
      <c r="E132" s="87">
        <v>2.6591552809406296</v>
      </c>
      <c r="F132" s="76" t="s">
        <v>389</v>
      </c>
      <c r="G132" s="76" t="b">
        <v>0</v>
      </c>
      <c r="H132" s="76" t="b">
        <v>0</v>
      </c>
      <c r="I132" s="76" t="b">
        <v>0</v>
      </c>
      <c r="J132" s="76" t="b">
        <v>0</v>
      </c>
      <c r="K132" s="76" t="b">
        <v>0</v>
      </c>
      <c r="L132" s="76" t="b">
        <v>0</v>
      </c>
    </row>
    <row r="133" spans="1:12" ht="15">
      <c r="A133" s="73" t="s">
        <v>376</v>
      </c>
      <c r="B133" s="76" t="s">
        <v>377</v>
      </c>
      <c r="C133" s="76">
        <v>4</v>
      </c>
      <c r="D133" s="87">
        <v>0.0023965906473988907</v>
      </c>
      <c r="E133" s="87">
        <v>2.416117232254335</v>
      </c>
      <c r="F133" s="76" t="s">
        <v>389</v>
      </c>
      <c r="G133" s="76" t="b">
        <v>0</v>
      </c>
      <c r="H133" s="76" t="b">
        <v>0</v>
      </c>
      <c r="I133" s="76" t="b">
        <v>0</v>
      </c>
      <c r="J133" s="76" t="b">
        <v>0</v>
      </c>
      <c r="K133" s="76" t="b">
        <v>0</v>
      </c>
      <c r="L133" s="76" t="b">
        <v>0</v>
      </c>
    </row>
    <row r="134" spans="1:12" ht="15">
      <c r="A134" s="73" t="s">
        <v>377</v>
      </c>
      <c r="B134" s="76" t="s">
        <v>378</v>
      </c>
      <c r="C134" s="76">
        <v>4</v>
      </c>
      <c r="D134" s="87">
        <v>0.0023965906473988907</v>
      </c>
      <c r="E134" s="87">
        <v>2.4830640218849487</v>
      </c>
      <c r="F134" s="76" t="s">
        <v>389</v>
      </c>
      <c r="G134" s="76" t="b">
        <v>0</v>
      </c>
      <c r="H134" s="76" t="b">
        <v>0</v>
      </c>
      <c r="I134" s="76" t="b">
        <v>0</v>
      </c>
      <c r="J134" s="76" t="b">
        <v>0</v>
      </c>
      <c r="K134" s="76" t="b">
        <v>0</v>
      </c>
      <c r="L134" s="76" t="b">
        <v>0</v>
      </c>
    </row>
    <row r="135" spans="1:12" ht="15">
      <c r="A135" s="73" t="s">
        <v>1588</v>
      </c>
      <c r="B135" s="76" t="s">
        <v>1580</v>
      </c>
      <c r="C135" s="76">
        <v>4</v>
      </c>
      <c r="D135" s="87">
        <v>0.0023965906473988907</v>
      </c>
      <c r="E135" s="87">
        <v>2.579974034893005</v>
      </c>
      <c r="F135" s="76" t="s">
        <v>389</v>
      </c>
      <c r="G135" s="76" t="b">
        <v>0</v>
      </c>
      <c r="H135" s="76" t="b">
        <v>0</v>
      </c>
      <c r="I135" s="76" t="b">
        <v>0</v>
      </c>
      <c r="J135" s="76" t="b">
        <v>0</v>
      </c>
      <c r="K135" s="76" t="b">
        <v>0</v>
      </c>
      <c r="L135" s="76" t="b">
        <v>0</v>
      </c>
    </row>
    <row r="136" spans="1:12" ht="15">
      <c r="A136" s="73" t="s">
        <v>1553</v>
      </c>
      <c r="B136" s="76" t="s">
        <v>363</v>
      </c>
      <c r="C136" s="76">
        <v>4</v>
      </c>
      <c r="D136" s="87">
        <v>0.0023965906473988907</v>
      </c>
      <c r="E136" s="87">
        <v>0.912521082003051</v>
      </c>
      <c r="F136" s="76" t="s">
        <v>389</v>
      </c>
      <c r="G136" s="76" t="b">
        <v>0</v>
      </c>
      <c r="H136" s="76" t="b">
        <v>0</v>
      </c>
      <c r="I136" s="76" t="b">
        <v>0</v>
      </c>
      <c r="J136" s="76" t="b">
        <v>0</v>
      </c>
      <c r="K136" s="76" t="b">
        <v>0</v>
      </c>
      <c r="L136" s="76" t="b">
        <v>0</v>
      </c>
    </row>
    <row r="137" spans="1:12" ht="15">
      <c r="A137" s="73" t="s">
        <v>363</v>
      </c>
      <c r="B137" s="76" t="s">
        <v>642</v>
      </c>
      <c r="C137" s="76">
        <v>4</v>
      </c>
      <c r="D137" s="87">
        <v>0.0023965906473988907</v>
      </c>
      <c r="E137" s="87">
        <v>1.1028527801733425</v>
      </c>
      <c r="F137" s="76" t="s">
        <v>389</v>
      </c>
      <c r="G137" s="76" t="b">
        <v>0</v>
      </c>
      <c r="H137" s="76" t="b">
        <v>0</v>
      </c>
      <c r="I137" s="76" t="b">
        <v>0</v>
      </c>
      <c r="J137" s="76" t="b">
        <v>0</v>
      </c>
      <c r="K137" s="76" t="b">
        <v>0</v>
      </c>
      <c r="L137" s="76" t="b">
        <v>0</v>
      </c>
    </row>
    <row r="138" spans="1:12" ht="15">
      <c r="A138" s="73" t="s">
        <v>642</v>
      </c>
      <c r="B138" s="76" t="s">
        <v>1593</v>
      </c>
      <c r="C138" s="76">
        <v>4</v>
      </c>
      <c r="D138" s="87">
        <v>0.0023965906473988907</v>
      </c>
      <c r="E138" s="87">
        <v>2.7560652939486863</v>
      </c>
      <c r="F138" s="76" t="s">
        <v>389</v>
      </c>
      <c r="G138" s="76" t="b">
        <v>0</v>
      </c>
      <c r="H138" s="76" t="b">
        <v>0</v>
      </c>
      <c r="I138" s="76" t="b">
        <v>0</v>
      </c>
      <c r="J138" s="76" t="b">
        <v>0</v>
      </c>
      <c r="K138" s="76" t="b">
        <v>0</v>
      </c>
      <c r="L138" s="76" t="b">
        <v>0</v>
      </c>
    </row>
    <row r="139" spans="1:12" ht="15">
      <c r="A139" s="73" t="s">
        <v>1593</v>
      </c>
      <c r="B139" s="76" t="s">
        <v>1582</v>
      </c>
      <c r="C139" s="76">
        <v>4</v>
      </c>
      <c r="D139" s="87">
        <v>0.0023965906473988907</v>
      </c>
      <c r="E139" s="87">
        <v>2.6591552809406296</v>
      </c>
      <c r="F139" s="76" t="s">
        <v>389</v>
      </c>
      <c r="G139" s="76" t="b">
        <v>0</v>
      </c>
      <c r="H139" s="76" t="b">
        <v>0</v>
      </c>
      <c r="I139" s="76" t="b">
        <v>0</v>
      </c>
      <c r="J139" s="76" t="b">
        <v>0</v>
      </c>
      <c r="K139" s="76" t="b">
        <v>0</v>
      </c>
      <c r="L139" s="76" t="b">
        <v>0</v>
      </c>
    </row>
    <row r="140" spans="1:12" ht="15">
      <c r="A140" s="73" t="s">
        <v>1582</v>
      </c>
      <c r="B140" s="76" t="s">
        <v>1594</v>
      </c>
      <c r="C140" s="76">
        <v>4</v>
      </c>
      <c r="D140" s="87">
        <v>0.0023965906473988907</v>
      </c>
      <c r="E140" s="87">
        <v>2.7560652939486863</v>
      </c>
      <c r="F140" s="76" t="s">
        <v>389</v>
      </c>
      <c r="G140" s="76" t="b">
        <v>0</v>
      </c>
      <c r="H140" s="76" t="b">
        <v>0</v>
      </c>
      <c r="I140" s="76" t="b">
        <v>0</v>
      </c>
      <c r="J140" s="76" t="b">
        <v>0</v>
      </c>
      <c r="K140" s="76" t="b">
        <v>0</v>
      </c>
      <c r="L140" s="76" t="b">
        <v>0</v>
      </c>
    </row>
    <row r="141" spans="1:12" ht="15">
      <c r="A141" s="73" t="s">
        <v>1594</v>
      </c>
      <c r="B141" s="76" t="s">
        <v>1595</v>
      </c>
      <c r="C141" s="76">
        <v>4</v>
      </c>
      <c r="D141" s="87">
        <v>0.0023965906473988907</v>
      </c>
      <c r="E141" s="87">
        <v>2.7560652939486863</v>
      </c>
      <c r="F141" s="76" t="s">
        <v>389</v>
      </c>
      <c r="G141" s="76" t="b">
        <v>0</v>
      </c>
      <c r="H141" s="76" t="b">
        <v>0</v>
      </c>
      <c r="I141" s="76" t="b">
        <v>0</v>
      </c>
      <c r="J141" s="76" t="b">
        <v>0</v>
      </c>
      <c r="K141" s="76" t="b">
        <v>0</v>
      </c>
      <c r="L141" s="76" t="b">
        <v>0</v>
      </c>
    </row>
    <row r="142" spans="1:12" ht="15">
      <c r="A142" s="73" t="s">
        <v>1595</v>
      </c>
      <c r="B142" s="76" t="s">
        <v>1596</v>
      </c>
      <c r="C142" s="76">
        <v>4</v>
      </c>
      <c r="D142" s="87">
        <v>0.0023965906473988907</v>
      </c>
      <c r="E142" s="87">
        <v>2.7560652939486863</v>
      </c>
      <c r="F142" s="76" t="s">
        <v>389</v>
      </c>
      <c r="G142" s="76" t="b">
        <v>0</v>
      </c>
      <c r="H142" s="76" t="b">
        <v>0</v>
      </c>
      <c r="I142" s="76" t="b">
        <v>0</v>
      </c>
      <c r="J142" s="76" t="b">
        <v>0</v>
      </c>
      <c r="K142" s="76" t="b">
        <v>0</v>
      </c>
      <c r="L142" s="76" t="b">
        <v>0</v>
      </c>
    </row>
    <row r="143" spans="1:12" ht="15">
      <c r="A143" s="73" t="s">
        <v>1596</v>
      </c>
      <c r="B143" s="76" t="s">
        <v>1597</v>
      </c>
      <c r="C143" s="76">
        <v>4</v>
      </c>
      <c r="D143" s="87">
        <v>0.0023965906473988907</v>
      </c>
      <c r="E143" s="87">
        <v>2.7560652939486863</v>
      </c>
      <c r="F143" s="76" t="s">
        <v>389</v>
      </c>
      <c r="G143" s="76" t="b">
        <v>0</v>
      </c>
      <c r="H143" s="76" t="b">
        <v>0</v>
      </c>
      <c r="I143" s="76" t="b">
        <v>0</v>
      </c>
      <c r="J143" s="76" t="b">
        <v>0</v>
      </c>
      <c r="K143" s="76" t="b">
        <v>0</v>
      </c>
      <c r="L143" s="76" t="b">
        <v>0</v>
      </c>
    </row>
    <row r="144" spans="1:12" ht="15">
      <c r="A144" s="73" t="s">
        <v>1551</v>
      </c>
      <c r="B144" s="76" t="s">
        <v>360</v>
      </c>
      <c r="C144" s="76">
        <v>4</v>
      </c>
      <c r="D144" s="87">
        <v>0.0023965906473988907</v>
      </c>
      <c r="E144" s="87">
        <v>0.9597511991252924</v>
      </c>
      <c r="F144" s="76" t="s">
        <v>389</v>
      </c>
      <c r="G144" s="76" t="b">
        <v>0</v>
      </c>
      <c r="H144" s="76" t="b">
        <v>0</v>
      </c>
      <c r="I144" s="76" t="b">
        <v>0</v>
      </c>
      <c r="J144" s="76" t="b">
        <v>0</v>
      </c>
      <c r="K144" s="76" t="b">
        <v>0</v>
      </c>
      <c r="L144" s="76" t="b">
        <v>0</v>
      </c>
    </row>
    <row r="145" spans="1:12" ht="15">
      <c r="A145" s="73" t="s">
        <v>362</v>
      </c>
      <c r="B145" s="76" t="s">
        <v>1553</v>
      </c>
      <c r="C145" s="76">
        <v>4</v>
      </c>
      <c r="D145" s="87">
        <v>0.0023965906473988907</v>
      </c>
      <c r="E145" s="87">
        <v>1.0374598186113508</v>
      </c>
      <c r="F145" s="76" t="s">
        <v>389</v>
      </c>
      <c r="G145" s="76" t="b">
        <v>0</v>
      </c>
      <c r="H145" s="76" t="b">
        <v>0</v>
      </c>
      <c r="I145" s="76" t="b">
        <v>0</v>
      </c>
      <c r="J145" s="76" t="b">
        <v>0</v>
      </c>
      <c r="K145" s="76" t="b">
        <v>0</v>
      </c>
      <c r="L145" s="76" t="b">
        <v>0</v>
      </c>
    </row>
    <row r="146" spans="1:12" ht="15">
      <c r="A146" s="73" t="s">
        <v>1600</v>
      </c>
      <c r="B146" s="76" t="s">
        <v>1601</v>
      </c>
      <c r="C146" s="76">
        <v>4</v>
      </c>
      <c r="D146" s="87">
        <v>0.0029006174295905713</v>
      </c>
      <c r="E146" s="87">
        <v>2.7560652939486863</v>
      </c>
      <c r="F146" s="76" t="s">
        <v>389</v>
      </c>
      <c r="G146" s="76" t="b">
        <v>0</v>
      </c>
      <c r="H146" s="76" t="b">
        <v>0</v>
      </c>
      <c r="I146" s="76" t="b">
        <v>0</v>
      </c>
      <c r="J146" s="76" t="b">
        <v>0</v>
      </c>
      <c r="K146" s="76" t="b">
        <v>0</v>
      </c>
      <c r="L146" s="76" t="b">
        <v>0</v>
      </c>
    </row>
    <row r="147" spans="1:12" ht="15">
      <c r="A147" s="73" t="s">
        <v>361</v>
      </c>
      <c r="B147" s="76" t="s">
        <v>1606</v>
      </c>
      <c r="C147" s="76">
        <v>3</v>
      </c>
      <c r="D147" s="87">
        <v>0.001954335496986966</v>
      </c>
      <c r="E147" s="87">
        <v>2.3167326001184234</v>
      </c>
      <c r="F147" s="76" t="s">
        <v>389</v>
      </c>
      <c r="G147" s="76" t="b">
        <v>0</v>
      </c>
      <c r="H147" s="76" t="b">
        <v>0</v>
      </c>
      <c r="I147" s="76" t="b">
        <v>0</v>
      </c>
      <c r="J147" s="76" t="b">
        <v>0</v>
      </c>
      <c r="K147" s="76" t="b">
        <v>0</v>
      </c>
      <c r="L147" s="76" t="b">
        <v>0</v>
      </c>
    </row>
    <row r="148" spans="1:12" ht="15">
      <c r="A148" s="73" t="s">
        <v>1606</v>
      </c>
      <c r="B148" s="76" t="s">
        <v>1607</v>
      </c>
      <c r="C148" s="76">
        <v>3</v>
      </c>
      <c r="D148" s="87">
        <v>0.001954335496986966</v>
      </c>
      <c r="E148" s="87">
        <v>2.881004030556986</v>
      </c>
      <c r="F148" s="76" t="s">
        <v>389</v>
      </c>
      <c r="G148" s="76" t="b">
        <v>0</v>
      </c>
      <c r="H148" s="76" t="b">
        <v>0</v>
      </c>
      <c r="I148" s="76" t="b">
        <v>0</v>
      </c>
      <c r="J148" s="76" t="b">
        <v>0</v>
      </c>
      <c r="K148" s="76" t="b">
        <v>0</v>
      </c>
      <c r="L148" s="76" t="b">
        <v>0</v>
      </c>
    </row>
    <row r="149" spans="1:12" ht="15">
      <c r="A149" s="73" t="s">
        <v>1607</v>
      </c>
      <c r="B149" s="76" t="s">
        <v>1608</v>
      </c>
      <c r="C149" s="76">
        <v>3</v>
      </c>
      <c r="D149" s="87">
        <v>0.001954335496986966</v>
      </c>
      <c r="E149" s="87">
        <v>2.881004030556986</v>
      </c>
      <c r="F149" s="76" t="s">
        <v>389</v>
      </c>
      <c r="G149" s="76" t="b">
        <v>0</v>
      </c>
      <c r="H149" s="76" t="b">
        <v>0</v>
      </c>
      <c r="I149" s="76" t="b">
        <v>0</v>
      </c>
      <c r="J149" s="76" t="b">
        <v>0</v>
      </c>
      <c r="K149" s="76" t="b">
        <v>0</v>
      </c>
      <c r="L149" s="76" t="b">
        <v>0</v>
      </c>
    </row>
    <row r="150" spans="1:12" ht="15">
      <c r="A150" s="73" t="s">
        <v>1608</v>
      </c>
      <c r="B150" s="76" t="s">
        <v>1609</v>
      </c>
      <c r="C150" s="76">
        <v>3</v>
      </c>
      <c r="D150" s="87">
        <v>0.001954335496986966</v>
      </c>
      <c r="E150" s="87">
        <v>2.881004030556986</v>
      </c>
      <c r="F150" s="76" t="s">
        <v>389</v>
      </c>
      <c r="G150" s="76" t="b">
        <v>0</v>
      </c>
      <c r="H150" s="76" t="b">
        <v>0</v>
      </c>
      <c r="I150" s="76" t="b">
        <v>0</v>
      </c>
      <c r="J150" s="76" t="b">
        <v>0</v>
      </c>
      <c r="K150" s="76" t="b">
        <v>0</v>
      </c>
      <c r="L150" s="76" t="b">
        <v>0</v>
      </c>
    </row>
    <row r="151" spans="1:12" ht="15">
      <c r="A151" s="73" t="s">
        <v>1609</v>
      </c>
      <c r="B151" s="76" t="s">
        <v>1589</v>
      </c>
      <c r="C151" s="76">
        <v>3</v>
      </c>
      <c r="D151" s="87">
        <v>0.001954335496986966</v>
      </c>
      <c r="E151" s="87">
        <v>2.7560652939486863</v>
      </c>
      <c r="F151" s="76" t="s">
        <v>389</v>
      </c>
      <c r="G151" s="76" t="b">
        <v>0</v>
      </c>
      <c r="H151" s="76" t="b">
        <v>0</v>
      </c>
      <c r="I151" s="76" t="b">
        <v>0</v>
      </c>
      <c r="J151" s="76" t="b">
        <v>0</v>
      </c>
      <c r="K151" s="76" t="b">
        <v>0</v>
      </c>
      <c r="L151" s="76" t="b">
        <v>0</v>
      </c>
    </row>
    <row r="152" spans="1:12" ht="15">
      <c r="A152" s="73" t="s">
        <v>1589</v>
      </c>
      <c r="B152" s="76" t="s">
        <v>1610</v>
      </c>
      <c r="C152" s="76">
        <v>3</v>
      </c>
      <c r="D152" s="87">
        <v>0.001954335496986966</v>
      </c>
      <c r="E152" s="87">
        <v>2.7560652939486863</v>
      </c>
      <c r="F152" s="76" t="s">
        <v>389</v>
      </c>
      <c r="G152" s="76" t="b">
        <v>0</v>
      </c>
      <c r="H152" s="76" t="b">
        <v>0</v>
      </c>
      <c r="I152" s="76" t="b">
        <v>0</v>
      </c>
      <c r="J152" s="76" t="b">
        <v>0</v>
      </c>
      <c r="K152" s="76" t="b">
        <v>0</v>
      </c>
      <c r="L152" s="76" t="b">
        <v>0</v>
      </c>
    </row>
    <row r="153" spans="1:12" ht="15">
      <c r="A153" s="73" t="s">
        <v>1610</v>
      </c>
      <c r="B153" s="76" t="s">
        <v>379</v>
      </c>
      <c r="C153" s="76">
        <v>3</v>
      </c>
      <c r="D153" s="87">
        <v>0.001954335496986966</v>
      </c>
      <c r="E153" s="87">
        <v>1.9779140435650426</v>
      </c>
      <c r="F153" s="76" t="s">
        <v>389</v>
      </c>
      <c r="G153" s="76" t="b">
        <v>0</v>
      </c>
      <c r="H153" s="76" t="b">
        <v>0</v>
      </c>
      <c r="I153" s="76" t="b">
        <v>0</v>
      </c>
      <c r="J153" s="76" t="b">
        <v>0</v>
      </c>
      <c r="K153" s="76" t="b">
        <v>0</v>
      </c>
      <c r="L153" s="76" t="b">
        <v>0</v>
      </c>
    </row>
    <row r="154" spans="1:12" ht="15">
      <c r="A154" s="73" t="s">
        <v>363</v>
      </c>
      <c r="B154" s="76" t="s">
        <v>1611</v>
      </c>
      <c r="C154" s="76">
        <v>3</v>
      </c>
      <c r="D154" s="87">
        <v>0.001954335496986966</v>
      </c>
      <c r="E154" s="87">
        <v>1.2789440392290237</v>
      </c>
      <c r="F154" s="76" t="s">
        <v>389</v>
      </c>
      <c r="G154" s="76" t="b">
        <v>0</v>
      </c>
      <c r="H154" s="76" t="b">
        <v>0</v>
      </c>
      <c r="I154" s="76" t="b">
        <v>0</v>
      </c>
      <c r="J154" s="76" t="b">
        <v>0</v>
      </c>
      <c r="K154" s="76" t="b">
        <v>0</v>
      </c>
      <c r="L154" s="76" t="b">
        <v>0</v>
      </c>
    </row>
    <row r="155" spans="1:12" ht="15">
      <c r="A155" s="73" t="s">
        <v>1611</v>
      </c>
      <c r="B155" s="76" t="s">
        <v>1612</v>
      </c>
      <c r="C155" s="76">
        <v>3</v>
      </c>
      <c r="D155" s="87">
        <v>0.001954335496986966</v>
      </c>
      <c r="E155" s="87">
        <v>2.881004030556986</v>
      </c>
      <c r="F155" s="76" t="s">
        <v>389</v>
      </c>
      <c r="G155" s="76" t="b">
        <v>0</v>
      </c>
      <c r="H155" s="76" t="b">
        <v>0</v>
      </c>
      <c r="I155" s="76" t="b">
        <v>0</v>
      </c>
      <c r="J155" s="76" t="b">
        <v>0</v>
      </c>
      <c r="K155" s="76" t="b">
        <v>0</v>
      </c>
      <c r="L155" s="76" t="b">
        <v>0</v>
      </c>
    </row>
    <row r="156" spans="1:12" ht="15">
      <c r="A156" s="73" t="s">
        <v>1612</v>
      </c>
      <c r="B156" s="76" t="s">
        <v>1512</v>
      </c>
      <c r="C156" s="76">
        <v>3</v>
      </c>
      <c r="D156" s="87">
        <v>0.001954335496986966</v>
      </c>
      <c r="E156" s="87">
        <v>2.1820340262209674</v>
      </c>
      <c r="F156" s="76" t="s">
        <v>389</v>
      </c>
      <c r="G156" s="76" t="b">
        <v>0</v>
      </c>
      <c r="H156" s="76" t="b">
        <v>0</v>
      </c>
      <c r="I156" s="76" t="b">
        <v>0</v>
      </c>
      <c r="J156" s="76" t="b">
        <v>0</v>
      </c>
      <c r="K156" s="76" t="b">
        <v>0</v>
      </c>
      <c r="L156" s="76" t="b">
        <v>0</v>
      </c>
    </row>
    <row r="157" spans="1:12" ht="15">
      <c r="A157" s="73" t="s">
        <v>1512</v>
      </c>
      <c r="B157" s="76" t="s">
        <v>1613</v>
      </c>
      <c r="C157" s="76">
        <v>3</v>
      </c>
      <c r="D157" s="87">
        <v>0.001954335496986966</v>
      </c>
      <c r="E157" s="87">
        <v>2.1820340262209674</v>
      </c>
      <c r="F157" s="76" t="s">
        <v>389</v>
      </c>
      <c r="G157" s="76" t="b">
        <v>0</v>
      </c>
      <c r="H157" s="76" t="b">
        <v>0</v>
      </c>
      <c r="I157" s="76" t="b">
        <v>0</v>
      </c>
      <c r="J157" s="76" t="b">
        <v>0</v>
      </c>
      <c r="K157" s="76" t="b">
        <v>0</v>
      </c>
      <c r="L157" s="76" t="b">
        <v>0</v>
      </c>
    </row>
    <row r="158" spans="1:12" ht="15">
      <c r="A158" s="73" t="s">
        <v>1613</v>
      </c>
      <c r="B158" s="76" t="s">
        <v>1614</v>
      </c>
      <c r="C158" s="76">
        <v>3</v>
      </c>
      <c r="D158" s="87">
        <v>0.001954335496986966</v>
      </c>
      <c r="E158" s="87">
        <v>2.881004030556986</v>
      </c>
      <c r="F158" s="76" t="s">
        <v>389</v>
      </c>
      <c r="G158" s="76" t="b">
        <v>0</v>
      </c>
      <c r="H158" s="76" t="b">
        <v>0</v>
      </c>
      <c r="I158" s="76" t="b">
        <v>0</v>
      </c>
      <c r="J158" s="76" t="b">
        <v>0</v>
      </c>
      <c r="K158" s="76" t="b">
        <v>0</v>
      </c>
      <c r="L158" s="76" t="b">
        <v>0</v>
      </c>
    </row>
    <row r="159" spans="1:12" ht="15">
      <c r="A159" s="73" t="s">
        <v>1614</v>
      </c>
      <c r="B159" s="76" t="s">
        <v>1615</v>
      </c>
      <c r="C159" s="76">
        <v>3</v>
      </c>
      <c r="D159" s="87">
        <v>0.001954335496986966</v>
      </c>
      <c r="E159" s="87">
        <v>2.881004030556986</v>
      </c>
      <c r="F159" s="76" t="s">
        <v>389</v>
      </c>
      <c r="G159" s="76" t="b">
        <v>0</v>
      </c>
      <c r="H159" s="76" t="b">
        <v>0</v>
      </c>
      <c r="I159" s="76" t="b">
        <v>0</v>
      </c>
      <c r="J159" s="76" t="b">
        <v>0</v>
      </c>
      <c r="K159" s="76" t="b">
        <v>0</v>
      </c>
      <c r="L159" s="76" t="b">
        <v>0</v>
      </c>
    </row>
    <row r="160" spans="1:12" ht="15">
      <c r="A160" s="73" t="s">
        <v>1615</v>
      </c>
      <c r="B160" s="76" t="s">
        <v>1550</v>
      </c>
      <c r="C160" s="76">
        <v>3</v>
      </c>
      <c r="D160" s="87">
        <v>0.001954335496986966</v>
      </c>
      <c r="E160" s="87">
        <v>2.3167326001184234</v>
      </c>
      <c r="F160" s="76" t="s">
        <v>389</v>
      </c>
      <c r="G160" s="76" t="b">
        <v>0</v>
      </c>
      <c r="H160" s="76" t="b">
        <v>0</v>
      </c>
      <c r="I160" s="76" t="b">
        <v>0</v>
      </c>
      <c r="J160" s="76" t="b">
        <v>0</v>
      </c>
      <c r="K160" s="76" t="b">
        <v>0</v>
      </c>
      <c r="L160" s="76" t="b">
        <v>0</v>
      </c>
    </row>
    <row r="161" spans="1:12" ht="15">
      <c r="A161" s="73" t="s">
        <v>1550</v>
      </c>
      <c r="B161" s="76" t="s">
        <v>1500</v>
      </c>
      <c r="C161" s="76">
        <v>3</v>
      </c>
      <c r="D161" s="87">
        <v>0.001954335496986966</v>
      </c>
      <c r="E161" s="87">
        <v>1.5385813497347798</v>
      </c>
      <c r="F161" s="76" t="s">
        <v>389</v>
      </c>
      <c r="G161" s="76" t="b">
        <v>0</v>
      </c>
      <c r="H161" s="76" t="b">
        <v>0</v>
      </c>
      <c r="I161" s="76" t="b">
        <v>0</v>
      </c>
      <c r="J161" s="76" t="b">
        <v>0</v>
      </c>
      <c r="K161" s="76" t="b">
        <v>0</v>
      </c>
      <c r="L161" s="76" t="b">
        <v>0</v>
      </c>
    </row>
    <row r="162" spans="1:12" ht="15">
      <c r="A162" s="73" t="s">
        <v>1500</v>
      </c>
      <c r="B162" s="76" t="s">
        <v>1616</v>
      </c>
      <c r="C162" s="76">
        <v>3</v>
      </c>
      <c r="D162" s="87">
        <v>0.001954335496986966</v>
      </c>
      <c r="E162" s="87">
        <v>2.1028527801733423</v>
      </c>
      <c r="F162" s="76" t="s">
        <v>389</v>
      </c>
      <c r="G162" s="76" t="b">
        <v>0</v>
      </c>
      <c r="H162" s="76" t="b">
        <v>0</v>
      </c>
      <c r="I162" s="76" t="b">
        <v>0</v>
      </c>
      <c r="J162" s="76" t="b">
        <v>0</v>
      </c>
      <c r="K162" s="76" t="b">
        <v>0</v>
      </c>
      <c r="L162" s="76" t="b">
        <v>0</v>
      </c>
    </row>
    <row r="163" spans="1:12" ht="15">
      <c r="A163" s="73" t="s">
        <v>1616</v>
      </c>
      <c r="B163" s="76" t="s">
        <v>1617</v>
      </c>
      <c r="C163" s="76">
        <v>3</v>
      </c>
      <c r="D163" s="87">
        <v>0.001954335496986966</v>
      </c>
      <c r="E163" s="87">
        <v>2.881004030556986</v>
      </c>
      <c r="F163" s="76" t="s">
        <v>389</v>
      </c>
      <c r="G163" s="76" t="b">
        <v>0</v>
      </c>
      <c r="H163" s="76" t="b">
        <v>0</v>
      </c>
      <c r="I163" s="76" t="b">
        <v>0</v>
      </c>
      <c r="J163" s="76" t="b">
        <v>0</v>
      </c>
      <c r="K163" s="76" t="b">
        <v>0</v>
      </c>
      <c r="L163" s="76" t="b">
        <v>0</v>
      </c>
    </row>
    <row r="164" spans="1:12" ht="15">
      <c r="A164" s="73" t="s">
        <v>1617</v>
      </c>
      <c r="B164" s="76" t="s">
        <v>1618</v>
      </c>
      <c r="C164" s="76">
        <v>3</v>
      </c>
      <c r="D164" s="87">
        <v>0.001954335496986966</v>
      </c>
      <c r="E164" s="87">
        <v>2.881004030556986</v>
      </c>
      <c r="F164" s="76" t="s">
        <v>389</v>
      </c>
      <c r="G164" s="76" t="b">
        <v>0</v>
      </c>
      <c r="H164" s="76" t="b">
        <v>0</v>
      </c>
      <c r="I164" s="76" t="b">
        <v>0</v>
      </c>
      <c r="J164" s="76" t="b">
        <v>0</v>
      </c>
      <c r="K164" s="76" t="b">
        <v>0</v>
      </c>
      <c r="L164" s="76" t="b">
        <v>0</v>
      </c>
    </row>
    <row r="165" spans="1:12" ht="15">
      <c r="A165" s="73" t="s">
        <v>1618</v>
      </c>
      <c r="B165" s="76" t="s">
        <v>1619</v>
      </c>
      <c r="C165" s="76">
        <v>3</v>
      </c>
      <c r="D165" s="87">
        <v>0.001954335496986966</v>
      </c>
      <c r="E165" s="87">
        <v>2.881004030556986</v>
      </c>
      <c r="F165" s="76" t="s">
        <v>389</v>
      </c>
      <c r="G165" s="76" t="b">
        <v>0</v>
      </c>
      <c r="H165" s="76" t="b">
        <v>0</v>
      </c>
      <c r="I165" s="76" t="b">
        <v>0</v>
      </c>
      <c r="J165" s="76" t="b">
        <v>0</v>
      </c>
      <c r="K165" s="76" t="b">
        <v>0</v>
      </c>
      <c r="L165" s="76" t="b">
        <v>0</v>
      </c>
    </row>
    <row r="166" spans="1:12" ht="15">
      <c r="A166" s="73" t="s">
        <v>1619</v>
      </c>
      <c r="B166" s="76" t="s">
        <v>1620</v>
      </c>
      <c r="C166" s="76">
        <v>3</v>
      </c>
      <c r="D166" s="87">
        <v>0.001954335496986966</v>
      </c>
      <c r="E166" s="87">
        <v>2.881004030556986</v>
      </c>
      <c r="F166" s="76" t="s">
        <v>389</v>
      </c>
      <c r="G166" s="76" t="b">
        <v>0</v>
      </c>
      <c r="H166" s="76" t="b">
        <v>0</v>
      </c>
      <c r="I166" s="76" t="b">
        <v>0</v>
      </c>
      <c r="J166" s="76" t="b">
        <v>0</v>
      </c>
      <c r="K166" s="76" t="b">
        <v>0</v>
      </c>
      <c r="L166" s="76" t="b">
        <v>0</v>
      </c>
    </row>
    <row r="167" spans="1:12" ht="15">
      <c r="A167" s="73" t="s">
        <v>1502</v>
      </c>
      <c r="B167" s="76" t="s">
        <v>1553</v>
      </c>
      <c r="C167" s="76">
        <v>3</v>
      </c>
      <c r="D167" s="87">
        <v>0.001954335496986966</v>
      </c>
      <c r="E167" s="87">
        <v>1.6505551091787123</v>
      </c>
      <c r="F167" s="76" t="s">
        <v>389</v>
      </c>
      <c r="G167" s="76" t="b">
        <v>1</v>
      </c>
      <c r="H167" s="76" t="b">
        <v>0</v>
      </c>
      <c r="I167" s="76" t="b">
        <v>0</v>
      </c>
      <c r="J167" s="76" t="b">
        <v>0</v>
      </c>
      <c r="K167" s="76" t="b">
        <v>0</v>
      </c>
      <c r="L167" s="76" t="b">
        <v>0</v>
      </c>
    </row>
    <row r="168" spans="1:12" ht="15">
      <c r="A168" s="73" t="s">
        <v>363</v>
      </c>
      <c r="B168" s="76" t="s">
        <v>641</v>
      </c>
      <c r="C168" s="76">
        <v>3</v>
      </c>
      <c r="D168" s="87">
        <v>0.001954335496986966</v>
      </c>
      <c r="E168" s="87">
        <v>1.2789440392290237</v>
      </c>
      <c r="F168" s="76" t="s">
        <v>389</v>
      </c>
      <c r="G168" s="76" t="b">
        <v>0</v>
      </c>
      <c r="H168" s="76" t="b">
        <v>0</v>
      </c>
      <c r="I168" s="76" t="b">
        <v>0</v>
      </c>
      <c r="J168" s="76" t="b">
        <v>0</v>
      </c>
      <c r="K168" s="76" t="b">
        <v>0</v>
      </c>
      <c r="L168" s="76" t="b">
        <v>0</v>
      </c>
    </row>
    <row r="169" spans="1:12" ht="15">
      <c r="A169" s="73" t="s">
        <v>641</v>
      </c>
      <c r="B169" s="76" t="s">
        <v>1623</v>
      </c>
      <c r="C169" s="76">
        <v>3</v>
      </c>
      <c r="D169" s="87">
        <v>0.001954335496986966</v>
      </c>
      <c r="E169" s="87">
        <v>2.881004030556986</v>
      </c>
      <c r="F169" s="76" t="s">
        <v>389</v>
      </c>
      <c r="G169" s="76" t="b">
        <v>0</v>
      </c>
      <c r="H169" s="76" t="b">
        <v>0</v>
      </c>
      <c r="I169" s="76" t="b">
        <v>0</v>
      </c>
      <c r="J169" s="76" t="b">
        <v>0</v>
      </c>
      <c r="K169" s="76" t="b">
        <v>0</v>
      </c>
      <c r="L169" s="76" t="b">
        <v>0</v>
      </c>
    </row>
    <row r="170" spans="1:12" ht="15">
      <c r="A170" s="73" t="s">
        <v>1623</v>
      </c>
      <c r="B170" s="76" t="s">
        <v>640</v>
      </c>
      <c r="C170" s="76">
        <v>3</v>
      </c>
      <c r="D170" s="87">
        <v>0.001954335496986966</v>
      </c>
      <c r="E170" s="87">
        <v>2.881004030556986</v>
      </c>
      <c r="F170" s="76" t="s">
        <v>389</v>
      </c>
      <c r="G170" s="76" t="b">
        <v>0</v>
      </c>
      <c r="H170" s="76" t="b">
        <v>0</v>
      </c>
      <c r="I170" s="76" t="b">
        <v>0</v>
      </c>
      <c r="J170" s="76" t="b">
        <v>0</v>
      </c>
      <c r="K170" s="76" t="b">
        <v>0</v>
      </c>
      <c r="L170" s="76" t="b">
        <v>0</v>
      </c>
    </row>
    <row r="171" spans="1:12" ht="15">
      <c r="A171" s="73" t="s">
        <v>640</v>
      </c>
      <c r="B171" s="76" t="s">
        <v>1624</v>
      </c>
      <c r="C171" s="76">
        <v>3</v>
      </c>
      <c r="D171" s="87">
        <v>0.001954335496986966</v>
      </c>
      <c r="E171" s="87">
        <v>2.881004030556986</v>
      </c>
      <c r="F171" s="76" t="s">
        <v>389</v>
      </c>
      <c r="G171" s="76" t="b">
        <v>0</v>
      </c>
      <c r="H171" s="76" t="b">
        <v>0</v>
      </c>
      <c r="I171" s="76" t="b">
        <v>0</v>
      </c>
      <c r="J171" s="76" t="b">
        <v>0</v>
      </c>
      <c r="K171" s="76" t="b">
        <v>0</v>
      </c>
      <c r="L171" s="76" t="b">
        <v>0</v>
      </c>
    </row>
    <row r="172" spans="1:12" ht="15">
      <c r="A172" s="73" t="s">
        <v>1624</v>
      </c>
      <c r="B172" s="76" t="s">
        <v>1500</v>
      </c>
      <c r="C172" s="76">
        <v>3</v>
      </c>
      <c r="D172" s="87">
        <v>0.001954335496986966</v>
      </c>
      <c r="E172" s="87">
        <v>2.1028527801733423</v>
      </c>
      <c r="F172" s="76" t="s">
        <v>389</v>
      </c>
      <c r="G172" s="76" t="b">
        <v>0</v>
      </c>
      <c r="H172" s="76" t="b">
        <v>0</v>
      </c>
      <c r="I172" s="76" t="b">
        <v>0</v>
      </c>
      <c r="J172" s="76" t="b">
        <v>0</v>
      </c>
      <c r="K172" s="76" t="b">
        <v>0</v>
      </c>
      <c r="L172" s="76" t="b">
        <v>0</v>
      </c>
    </row>
    <row r="173" spans="1:12" ht="15">
      <c r="A173" s="73" t="s">
        <v>1500</v>
      </c>
      <c r="B173" s="76" t="s">
        <v>1625</v>
      </c>
      <c r="C173" s="76">
        <v>3</v>
      </c>
      <c r="D173" s="87">
        <v>0.001954335496986966</v>
      </c>
      <c r="E173" s="87">
        <v>2.1028527801733423</v>
      </c>
      <c r="F173" s="76" t="s">
        <v>389</v>
      </c>
      <c r="G173" s="76" t="b">
        <v>0</v>
      </c>
      <c r="H173" s="76" t="b">
        <v>0</v>
      </c>
      <c r="I173" s="76" t="b">
        <v>0</v>
      </c>
      <c r="J173" s="76" t="b">
        <v>0</v>
      </c>
      <c r="K173" s="76" t="b">
        <v>0</v>
      </c>
      <c r="L173" s="76" t="b">
        <v>0</v>
      </c>
    </row>
    <row r="174" spans="1:12" ht="15">
      <c r="A174" s="73" t="s">
        <v>1625</v>
      </c>
      <c r="B174" s="76" t="s">
        <v>1551</v>
      </c>
      <c r="C174" s="76">
        <v>3</v>
      </c>
      <c r="D174" s="87">
        <v>0.001954335496986966</v>
      </c>
      <c r="E174" s="87">
        <v>2.3167326001184234</v>
      </c>
      <c r="F174" s="76" t="s">
        <v>389</v>
      </c>
      <c r="G174" s="76" t="b">
        <v>0</v>
      </c>
      <c r="H174" s="76" t="b">
        <v>0</v>
      </c>
      <c r="I174" s="76" t="b">
        <v>0</v>
      </c>
      <c r="J174" s="76" t="b">
        <v>0</v>
      </c>
      <c r="K174" s="76" t="b">
        <v>0</v>
      </c>
      <c r="L174" s="76" t="b">
        <v>0</v>
      </c>
    </row>
    <row r="175" spans="1:12" ht="15">
      <c r="A175" s="73" t="s">
        <v>1553</v>
      </c>
      <c r="B175" s="76" t="s">
        <v>1626</v>
      </c>
      <c r="C175" s="76">
        <v>3</v>
      </c>
      <c r="D175" s="87">
        <v>0.001954335496986966</v>
      </c>
      <c r="E175" s="87">
        <v>2.4038827758373236</v>
      </c>
      <c r="F175" s="76" t="s">
        <v>389</v>
      </c>
      <c r="G175" s="76" t="b">
        <v>0</v>
      </c>
      <c r="H175" s="76" t="b">
        <v>0</v>
      </c>
      <c r="I175" s="76" t="b">
        <v>0</v>
      </c>
      <c r="J175" s="76" t="b">
        <v>0</v>
      </c>
      <c r="K175" s="76" t="b">
        <v>0</v>
      </c>
      <c r="L175" s="76" t="b">
        <v>0</v>
      </c>
    </row>
    <row r="176" spans="1:12" ht="15">
      <c r="A176" s="73" t="s">
        <v>1626</v>
      </c>
      <c r="B176" s="76" t="s">
        <v>1627</v>
      </c>
      <c r="C176" s="76">
        <v>3</v>
      </c>
      <c r="D176" s="87">
        <v>0.001954335496986966</v>
      </c>
      <c r="E176" s="87">
        <v>2.881004030556986</v>
      </c>
      <c r="F176" s="76" t="s">
        <v>389</v>
      </c>
      <c r="G176" s="76" t="b">
        <v>0</v>
      </c>
      <c r="H176" s="76" t="b">
        <v>0</v>
      </c>
      <c r="I176" s="76" t="b">
        <v>0</v>
      </c>
      <c r="J176" s="76" t="b">
        <v>0</v>
      </c>
      <c r="K176" s="76" t="b">
        <v>0</v>
      </c>
      <c r="L176" s="76" t="b">
        <v>0</v>
      </c>
    </row>
    <row r="177" spans="1:12" ht="15">
      <c r="A177" s="73" t="s">
        <v>1580</v>
      </c>
      <c r="B177" s="76" t="s">
        <v>360</v>
      </c>
      <c r="C177" s="76">
        <v>2</v>
      </c>
      <c r="D177" s="87">
        <v>0.0014503087147952857</v>
      </c>
      <c r="E177" s="87">
        <v>0.9219626382358925</v>
      </c>
      <c r="F177" s="76" t="s">
        <v>389</v>
      </c>
      <c r="G177" s="76" t="b">
        <v>0</v>
      </c>
      <c r="H177" s="76" t="b">
        <v>0</v>
      </c>
      <c r="I177" s="76" t="b">
        <v>0</v>
      </c>
      <c r="J177" s="76" t="b">
        <v>0</v>
      </c>
      <c r="K177" s="76" t="b">
        <v>0</v>
      </c>
      <c r="L177" s="76" t="b">
        <v>0</v>
      </c>
    </row>
    <row r="178" spans="1:12" ht="15">
      <c r="A178" s="73" t="s">
        <v>1634</v>
      </c>
      <c r="B178" s="76" t="s">
        <v>720</v>
      </c>
      <c r="C178" s="76">
        <v>2</v>
      </c>
      <c r="D178" s="87">
        <v>0.0014503087147952857</v>
      </c>
      <c r="E178" s="87">
        <v>1.9109672539344293</v>
      </c>
      <c r="F178" s="76" t="s">
        <v>389</v>
      </c>
      <c r="G178" s="76" t="b">
        <v>0</v>
      </c>
      <c r="H178" s="76" t="b">
        <v>0</v>
      </c>
      <c r="I178" s="76" t="b">
        <v>0</v>
      </c>
      <c r="J178" s="76" t="b">
        <v>0</v>
      </c>
      <c r="K178" s="76" t="b">
        <v>0</v>
      </c>
      <c r="L178" s="76" t="b">
        <v>0</v>
      </c>
    </row>
    <row r="179" spans="1:12" ht="15">
      <c r="A179" s="73" t="s">
        <v>720</v>
      </c>
      <c r="B179" s="76" t="s">
        <v>1635</v>
      </c>
      <c r="C179" s="76">
        <v>2</v>
      </c>
      <c r="D179" s="87">
        <v>0.0014503087147952857</v>
      </c>
      <c r="E179" s="87">
        <v>2.0793716843238195</v>
      </c>
      <c r="F179" s="76" t="s">
        <v>389</v>
      </c>
      <c r="G179" s="76" t="b">
        <v>0</v>
      </c>
      <c r="H179" s="76" t="b">
        <v>0</v>
      </c>
      <c r="I179" s="76" t="b">
        <v>0</v>
      </c>
      <c r="J179" s="76" t="b">
        <v>0</v>
      </c>
      <c r="K179" s="76" t="b">
        <v>0</v>
      </c>
      <c r="L179" s="76" t="b">
        <v>0</v>
      </c>
    </row>
    <row r="180" spans="1:12" ht="15">
      <c r="A180" s="73" t="s">
        <v>1635</v>
      </c>
      <c r="B180" s="76" t="s">
        <v>1491</v>
      </c>
      <c r="C180" s="76">
        <v>2</v>
      </c>
      <c r="D180" s="87">
        <v>0.0014503087147952857</v>
      </c>
      <c r="E180" s="87">
        <v>1.667929205248135</v>
      </c>
      <c r="F180" s="76" t="s">
        <v>389</v>
      </c>
      <c r="G180" s="76" t="b">
        <v>0</v>
      </c>
      <c r="H180" s="76" t="b">
        <v>0</v>
      </c>
      <c r="I180" s="76" t="b">
        <v>0</v>
      </c>
      <c r="J180" s="76" t="b">
        <v>0</v>
      </c>
      <c r="K180" s="76" t="b">
        <v>0</v>
      </c>
      <c r="L180" s="76" t="b">
        <v>0</v>
      </c>
    </row>
    <row r="181" spans="1:12" ht="15">
      <c r="A181" s="73" t="s">
        <v>1491</v>
      </c>
      <c r="B181" s="76" t="s">
        <v>1636</v>
      </c>
      <c r="C181" s="76">
        <v>2</v>
      </c>
      <c r="D181" s="87">
        <v>0.0014503087147952857</v>
      </c>
      <c r="E181" s="87">
        <v>1.6591552809406298</v>
      </c>
      <c r="F181" s="76" t="s">
        <v>389</v>
      </c>
      <c r="G181" s="76" t="b">
        <v>0</v>
      </c>
      <c r="H181" s="76" t="b">
        <v>0</v>
      </c>
      <c r="I181" s="76" t="b">
        <v>0</v>
      </c>
      <c r="J181" s="76" t="b">
        <v>0</v>
      </c>
      <c r="K181" s="76" t="b">
        <v>0</v>
      </c>
      <c r="L181" s="76" t="b">
        <v>0</v>
      </c>
    </row>
    <row r="182" spans="1:12" ht="15">
      <c r="A182" s="73" t="s">
        <v>1636</v>
      </c>
      <c r="B182" s="76" t="s">
        <v>1602</v>
      </c>
      <c r="C182" s="76">
        <v>2</v>
      </c>
      <c r="D182" s="87">
        <v>0.0014503087147952857</v>
      </c>
      <c r="E182" s="87">
        <v>2.881004030556986</v>
      </c>
      <c r="F182" s="76" t="s">
        <v>389</v>
      </c>
      <c r="G182" s="76" t="b">
        <v>0</v>
      </c>
      <c r="H182" s="76" t="b">
        <v>0</v>
      </c>
      <c r="I182" s="76" t="b">
        <v>0</v>
      </c>
      <c r="J182" s="76" t="b">
        <v>0</v>
      </c>
      <c r="K182" s="76" t="b">
        <v>0</v>
      </c>
      <c r="L182" s="76" t="b">
        <v>0</v>
      </c>
    </row>
    <row r="183" spans="1:12" ht="15">
      <c r="A183" s="73" t="s">
        <v>1602</v>
      </c>
      <c r="B183" s="76" t="s">
        <v>1637</v>
      </c>
      <c r="C183" s="76">
        <v>2</v>
      </c>
      <c r="D183" s="87">
        <v>0.0014503087147952857</v>
      </c>
      <c r="E183" s="87">
        <v>2.881004030556986</v>
      </c>
      <c r="F183" s="76" t="s">
        <v>389</v>
      </c>
      <c r="G183" s="76" t="b">
        <v>0</v>
      </c>
      <c r="H183" s="76" t="b">
        <v>0</v>
      </c>
      <c r="I183" s="76" t="b">
        <v>0</v>
      </c>
      <c r="J183" s="76" t="b">
        <v>0</v>
      </c>
      <c r="K183" s="76" t="b">
        <v>0</v>
      </c>
      <c r="L183" s="76" t="b">
        <v>0</v>
      </c>
    </row>
    <row r="184" spans="1:12" ht="15">
      <c r="A184" s="73" t="s">
        <v>1637</v>
      </c>
      <c r="B184" s="76" t="s">
        <v>360</v>
      </c>
      <c r="C184" s="76">
        <v>2</v>
      </c>
      <c r="D184" s="87">
        <v>0.0014503087147952857</v>
      </c>
      <c r="E184" s="87">
        <v>1.399083892955555</v>
      </c>
      <c r="F184" s="76" t="s">
        <v>389</v>
      </c>
      <c r="G184" s="76" t="b">
        <v>0</v>
      </c>
      <c r="H184" s="76" t="b">
        <v>0</v>
      </c>
      <c r="I184" s="76" t="b">
        <v>0</v>
      </c>
      <c r="J184" s="76" t="b">
        <v>0</v>
      </c>
      <c r="K184" s="76" t="b">
        <v>0</v>
      </c>
      <c r="L184" s="76" t="b">
        <v>0</v>
      </c>
    </row>
    <row r="185" spans="1:12" ht="15">
      <c r="A185" s="73" t="s">
        <v>1603</v>
      </c>
      <c r="B185" s="76" t="s">
        <v>379</v>
      </c>
      <c r="C185" s="76">
        <v>2</v>
      </c>
      <c r="D185" s="87">
        <v>0.0014503087147952857</v>
      </c>
      <c r="E185" s="87">
        <v>1.8018227845093613</v>
      </c>
      <c r="F185" s="76" t="s">
        <v>389</v>
      </c>
      <c r="G185" s="76" t="b">
        <v>0</v>
      </c>
      <c r="H185" s="76" t="b">
        <v>0</v>
      </c>
      <c r="I185" s="76" t="b">
        <v>0</v>
      </c>
      <c r="J185" s="76" t="b">
        <v>0</v>
      </c>
      <c r="K185" s="76" t="b">
        <v>0</v>
      </c>
      <c r="L185" s="76" t="b">
        <v>0</v>
      </c>
    </row>
    <row r="186" spans="1:12" ht="15">
      <c r="A186" s="73" t="s">
        <v>380</v>
      </c>
      <c r="B186" s="76" t="s">
        <v>364</v>
      </c>
      <c r="C186" s="76">
        <v>2</v>
      </c>
      <c r="D186" s="87">
        <v>0.0014503087147952857</v>
      </c>
      <c r="E186" s="87">
        <v>2.579974034893005</v>
      </c>
      <c r="F186" s="76" t="s">
        <v>389</v>
      </c>
      <c r="G186" s="76" t="b">
        <v>0</v>
      </c>
      <c r="H186" s="76" t="b">
        <v>0</v>
      </c>
      <c r="I186" s="76" t="b">
        <v>0</v>
      </c>
      <c r="J186" s="76" t="b">
        <v>0</v>
      </c>
      <c r="K186" s="76" t="b">
        <v>0</v>
      </c>
      <c r="L186" s="76" t="b">
        <v>0</v>
      </c>
    </row>
    <row r="187" spans="1:12" ht="15">
      <c r="A187" s="73" t="s">
        <v>361</v>
      </c>
      <c r="B187" s="76" t="s">
        <v>381</v>
      </c>
      <c r="C187" s="76">
        <v>2</v>
      </c>
      <c r="D187" s="87">
        <v>0.0014503087147952857</v>
      </c>
      <c r="E187" s="87">
        <v>2.3167326001184234</v>
      </c>
      <c r="F187" s="76" t="s">
        <v>389</v>
      </c>
      <c r="G187" s="76" t="b">
        <v>0</v>
      </c>
      <c r="H187" s="76" t="b">
        <v>0</v>
      </c>
      <c r="I187" s="76" t="b">
        <v>0</v>
      </c>
      <c r="J187" s="76" t="b">
        <v>0</v>
      </c>
      <c r="K187" s="76" t="b">
        <v>0</v>
      </c>
      <c r="L187" s="76" t="b">
        <v>0</v>
      </c>
    </row>
    <row r="188" spans="1:12" ht="15">
      <c r="A188" s="73" t="s">
        <v>381</v>
      </c>
      <c r="B188" s="76" t="s">
        <v>362</v>
      </c>
      <c r="C188" s="76">
        <v>2</v>
      </c>
      <c r="D188" s="87">
        <v>0.0014503087147952857</v>
      </c>
      <c r="E188" s="87">
        <v>1.3849974316769498</v>
      </c>
      <c r="F188" s="76" t="s">
        <v>389</v>
      </c>
      <c r="G188" s="76" t="b">
        <v>0</v>
      </c>
      <c r="H188" s="76" t="b">
        <v>0</v>
      </c>
      <c r="I188" s="76" t="b">
        <v>0</v>
      </c>
      <c r="J188" s="76" t="b">
        <v>0</v>
      </c>
      <c r="K188" s="76" t="b">
        <v>0</v>
      </c>
      <c r="L188" s="76" t="b">
        <v>0</v>
      </c>
    </row>
    <row r="189" spans="1:12" ht="15">
      <c r="A189" s="73" t="s">
        <v>378</v>
      </c>
      <c r="B189" s="76" t="s">
        <v>261</v>
      </c>
      <c r="C189" s="76">
        <v>2</v>
      </c>
      <c r="D189" s="87">
        <v>0.0014503087147952857</v>
      </c>
      <c r="E189" s="87">
        <v>2.6591552809406296</v>
      </c>
      <c r="F189" s="76" t="s">
        <v>389</v>
      </c>
      <c r="G189" s="76" t="b">
        <v>0</v>
      </c>
      <c r="H189" s="76" t="b">
        <v>0</v>
      </c>
      <c r="I189" s="76" t="b">
        <v>0</v>
      </c>
      <c r="J189" s="76" t="b">
        <v>0</v>
      </c>
      <c r="K189" s="76" t="b">
        <v>0</v>
      </c>
      <c r="L189" s="76" t="b">
        <v>0</v>
      </c>
    </row>
    <row r="190" spans="1:12" ht="15">
      <c r="A190" s="73" t="s">
        <v>383</v>
      </c>
      <c r="B190" s="76" t="s">
        <v>364</v>
      </c>
      <c r="C190" s="76">
        <v>2</v>
      </c>
      <c r="D190" s="87">
        <v>0.0014503087147952857</v>
      </c>
      <c r="E190" s="87">
        <v>2.1028527801733423</v>
      </c>
      <c r="F190" s="76" t="s">
        <v>389</v>
      </c>
      <c r="G190" s="76" t="b">
        <v>0</v>
      </c>
      <c r="H190" s="76" t="b">
        <v>0</v>
      </c>
      <c r="I190" s="76" t="b">
        <v>0</v>
      </c>
      <c r="J190" s="76" t="b">
        <v>0</v>
      </c>
      <c r="K190" s="76" t="b">
        <v>0</v>
      </c>
      <c r="L190" s="76" t="b">
        <v>0</v>
      </c>
    </row>
    <row r="191" spans="1:12" ht="15">
      <c r="A191" s="73" t="s">
        <v>361</v>
      </c>
      <c r="B191" s="76" t="s">
        <v>379</v>
      </c>
      <c r="C191" s="76">
        <v>2</v>
      </c>
      <c r="D191" s="87">
        <v>0.0014503087147952857</v>
      </c>
      <c r="E191" s="87">
        <v>1.2375513540707987</v>
      </c>
      <c r="F191" s="76" t="s">
        <v>389</v>
      </c>
      <c r="G191" s="76" t="b">
        <v>0</v>
      </c>
      <c r="H191" s="76" t="b">
        <v>0</v>
      </c>
      <c r="I191" s="76" t="b">
        <v>0</v>
      </c>
      <c r="J191" s="76" t="b">
        <v>0</v>
      </c>
      <c r="K191" s="76" t="b">
        <v>0</v>
      </c>
      <c r="L191" s="76" t="b">
        <v>0</v>
      </c>
    </row>
    <row r="192" spans="1:12" ht="15">
      <c r="A192" s="73" t="s">
        <v>378</v>
      </c>
      <c r="B192" s="76" t="s">
        <v>359</v>
      </c>
      <c r="C192" s="76">
        <v>2</v>
      </c>
      <c r="D192" s="87">
        <v>0.0014503087147952857</v>
      </c>
      <c r="E192" s="87">
        <v>1.8140572409263729</v>
      </c>
      <c r="F192" s="76" t="s">
        <v>389</v>
      </c>
      <c r="G192" s="76" t="b">
        <v>0</v>
      </c>
      <c r="H192" s="76" t="b">
        <v>0</v>
      </c>
      <c r="I192" s="76" t="b">
        <v>0</v>
      </c>
      <c r="J192" s="76" t="b">
        <v>0</v>
      </c>
      <c r="K192" s="76" t="b">
        <v>0</v>
      </c>
      <c r="L192" s="76" t="b">
        <v>0</v>
      </c>
    </row>
    <row r="193" spans="1:12" ht="15">
      <c r="A193" s="73" t="s">
        <v>383</v>
      </c>
      <c r="B193" s="76" t="s">
        <v>1644</v>
      </c>
      <c r="C193" s="76">
        <v>2</v>
      </c>
      <c r="D193" s="87">
        <v>0.0014503087147952857</v>
      </c>
      <c r="E193" s="87">
        <v>2.4038827758373236</v>
      </c>
      <c r="F193" s="76" t="s">
        <v>389</v>
      </c>
      <c r="G193" s="76" t="b">
        <v>0</v>
      </c>
      <c r="H193" s="76" t="b">
        <v>0</v>
      </c>
      <c r="I193" s="76" t="b">
        <v>0</v>
      </c>
      <c r="J193" s="76" t="b">
        <v>0</v>
      </c>
      <c r="K193" s="76" t="b">
        <v>0</v>
      </c>
      <c r="L193" s="76" t="b">
        <v>0</v>
      </c>
    </row>
    <row r="194" spans="1:12" ht="15">
      <c r="A194" s="73" t="s">
        <v>1644</v>
      </c>
      <c r="B194" s="76" t="s">
        <v>1491</v>
      </c>
      <c r="C194" s="76">
        <v>2</v>
      </c>
      <c r="D194" s="87">
        <v>0.0014503087147952857</v>
      </c>
      <c r="E194" s="87">
        <v>1.667929205248135</v>
      </c>
      <c r="F194" s="76" t="s">
        <v>389</v>
      </c>
      <c r="G194" s="76" t="b">
        <v>0</v>
      </c>
      <c r="H194" s="76" t="b">
        <v>0</v>
      </c>
      <c r="I194" s="76" t="b">
        <v>0</v>
      </c>
      <c r="J194" s="76" t="b">
        <v>0</v>
      </c>
      <c r="K194" s="76" t="b">
        <v>0</v>
      </c>
      <c r="L194" s="76" t="b">
        <v>0</v>
      </c>
    </row>
    <row r="195" spans="1:12" ht="15">
      <c r="A195" s="73" t="s">
        <v>1498</v>
      </c>
      <c r="B195" s="76" t="s">
        <v>1645</v>
      </c>
      <c r="C195" s="76">
        <v>2</v>
      </c>
      <c r="D195" s="87">
        <v>0.0014503087147952857</v>
      </c>
      <c r="E195" s="87">
        <v>2.1028527801733423</v>
      </c>
      <c r="F195" s="76" t="s">
        <v>389</v>
      </c>
      <c r="G195" s="76" t="b">
        <v>0</v>
      </c>
      <c r="H195" s="76" t="b">
        <v>0</v>
      </c>
      <c r="I195" s="76" t="b">
        <v>0</v>
      </c>
      <c r="J195" s="76" t="b">
        <v>0</v>
      </c>
      <c r="K195" s="76" t="b">
        <v>0</v>
      </c>
      <c r="L195" s="76" t="b">
        <v>0</v>
      </c>
    </row>
    <row r="196" spans="1:12" ht="15">
      <c r="A196" s="73" t="s">
        <v>1645</v>
      </c>
      <c r="B196" s="76" t="s">
        <v>360</v>
      </c>
      <c r="C196" s="76">
        <v>2</v>
      </c>
      <c r="D196" s="87">
        <v>0.0014503087147952857</v>
      </c>
      <c r="E196" s="87">
        <v>1.399083892955555</v>
      </c>
      <c r="F196" s="76" t="s">
        <v>389</v>
      </c>
      <c r="G196" s="76" t="b">
        <v>0</v>
      </c>
      <c r="H196" s="76" t="b">
        <v>0</v>
      </c>
      <c r="I196" s="76" t="b">
        <v>0</v>
      </c>
      <c r="J196" s="76" t="b">
        <v>0</v>
      </c>
      <c r="K196" s="76" t="b">
        <v>0</v>
      </c>
      <c r="L196" s="76" t="b">
        <v>0</v>
      </c>
    </row>
    <row r="197" spans="1:12" ht="15">
      <c r="A197" s="73" t="s">
        <v>363</v>
      </c>
      <c r="B197" s="76" t="s">
        <v>1646</v>
      </c>
      <c r="C197" s="76">
        <v>2</v>
      </c>
      <c r="D197" s="87">
        <v>0.0014503087147952857</v>
      </c>
      <c r="E197" s="87">
        <v>1.2789440392290237</v>
      </c>
      <c r="F197" s="76" t="s">
        <v>389</v>
      </c>
      <c r="G197" s="76" t="b">
        <v>0</v>
      </c>
      <c r="H197" s="76" t="b">
        <v>0</v>
      </c>
      <c r="I197" s="76" t="b">
        <v>0</v>
      </c>
      <c r="J197" s="76" t="b">
        <v>0</v>
      </c>
      <c r="K197" s="76" t="b">
        <v>0</v>
      </c>
      <c r="L197" s="76" t="b">
        <v>0</v>
      </c>
    </row>
    <row r="198" spans="1:12" ht="15">
      <c r="A198" s="73" t="s">
        <v>1646</v>
      </c>
      <c r="B198" s="76" t="s">
        <v>1647</v>
      </c>
      <c r="C198" s="76">
        <v>2</v>
      </c>
      <c r="D198" s="87">
        <v>0.0014503087147952857</v>
      </c>
      <c r="E198" s="87">
        <v>3.0570952896126675</v>
      </c>
      <c r="F198" s="76" t="s">
        <v>389</v>
      </c>
      <c r="G198" s="76" t="b">
        <v>0</v>
      </c>
      <c r="H198" s="76" t="b">
        <v>0</v>
      </c>
      <c r="I198" s="76" t="b">
        <v>0</v>
      </c>
      <c r="J198" s="76" t="b">
        <v>0</v>
      </c>
      <c r="K198" s="76" t="b">
        <v>0</v>
      </c>
      <c r="L198" s="76" t="b">
        <v>0</v>
      </c>
    </row>
    <row r="199" spans="1:12" ht="15">
      <c r="A199" s="73" t="s">
        <v>1647</v>
      </c>
      <c r="B199" s="76" t="s">
        <v>1648</v>
      </c>
      <c r="C199" s="76">
        <v>2</v>
      </c>
      <c r="D199" s="87">
        <v>0.0014503087147952857</v>
      </c>
      <c r="E199" s="87">
        <v>3.0570952896126675</v>
      </c>
      <c r="F199" s="76" t="s">
        <v>389</v>
      </c>
      <c r="G199" s="76" t="b">
        <v>0</v>
      </c>
      <c r="H199" s="76" t="b">
        <v>0</v>
      </c>
      <c r="I199" s="76" t="b">
        <v>0</v>
      </c>
      <c r="J199" s="76" t="b">
        <v>0</v>
      </c>
      <c r="K199" s="76" t="b">
        <v>0</v>
      </c>
      <c r="L199" s="76" t="b">
        <v>0</v>
      </c>
    </row>
    <row r="200" spans="1:12" ht="15">
      <c r="A200" s="73" t="s">
        <v>1648</v>
      </c>
      <c r="B200" s="76" t="s">
        <v>1604</v>
      </c>
      <c r="C200" s="76">
        <v>2</v>
      </c>
      <c r="D200" s="87">
        <v>0.0014503087147952857</v>
      </c>
      <c r="E200" s="87">
        <v>2.881004030556986</v>
      </c>
      <c r="F200" s="76" t="s">
        <v>389</v>
      </c>
      <c r="G200" s="76" t="b">
        <v>0</v>
      </c>
      <c r="H200" s="76" t="b">
        <v>0</v>
      </c>
      <c r="I200" s="76" t="b">
        <v>0</v>
      </c>
      <c r="J200" s="76" t="b">
        <v>0</v>
      </c>
      <c r="K200" s="76" t="b">
        <v>0</v>
      </c>
      <c r="L200" s="76" t="b">
        <v>0</v>
      </c>
    </row>
    <row r="201" spans="1:12" ht="15">
      <c r="A201" s="73" t="s">
        <v>1604</v>
      </c>
      <c r="B201" s="76" t="s">
        <v>649</v>
      </c>
      <c r="C201" s="76">
        <v>2</v>
      </c>
      <c r="D201" s="87">
        <v>0.0014503087147952857</v>
      </c>
      <c r="E201" s="87">
        <v>2.881004030556986</v>
      </c>
      <c r="F201" s="76" t="s">
        <v>389</v>
      </c>
      <c r="G201" s="76" t="b">
        <v>0</v>
      </c>
      <c r="H201" s="76" t="b">
        <v>0</v>
      </c>
      <c r="I201" s="76" t="b">
        <v>0</v>
      </c>
      <c r="J201" s="76" t="b">
        <v>0</v>
      </c>
      <c r="K201" s="76" t="b">
        <v>0</v>
      </c>
      <c r="L201" s="76" t="b">
        <v>0</v>
      </c>
    </row>
    <row r="202" spans="1:12" ht="15">
      <c r="A202" s="73" t="s">
        <v>720</v>
      </c>
      <c r="B202" s="76" t="s">
        <v>1649</v>
      </c>
      <c r="C202" s="76">
        <v>2</v>
      </c>
      <c r="D202" s="87">
        <v>0.0014503087147952857</v>
      </c>
      <c r="E202" s="87">
        <v>2.0793716843238195</v>
      </c>
      <c r="F202" s="76" t="s">
        <v>389</v>
      </c>
      <c r="G202" s="76" t="b">
        <v>0</v>
      </c>
      <c r="H202" s="76" t="b">
        <v>0</v>
      </c>
      <c r="I202" s="76" t="b">
        <v>0</v>
      </c>
      <c r="J202" s="76" t="b">
        <v>0</v>
      </c>
      <c r="K202" s="76" t="b">
        <v>0</v>
      </c>
      <c r="L202" s="76" t="b">
        <v>0</v>
      </c>
    </row>
    <row r="203" spans="1:12" ht="15">
      <c r="A203" s="73" t="s">
        <v>1649</v>
      </c>
      <c r="B203" s="76" t="s">
        <v>1650</v>
      </c>
      <c r="C203" s="76">
        <v>2</v>
      </c>
      <c r="D203" s="87">
        <v>0.0014503087147952857</v>
      </c>
      <c r="E203" s="87">
        <v>3.0570952896126675</v>
      </c>
      <c r="F203" s="76" t="s">
        <v>389</v>
      </c>
      <c r="G203" s="76" t="b">
        <v>0</v>
      </c>
      <c r="H203" s="76" t="b">
        <v>0</v>
      </c>
      <c r="I203" s="76" t="b">
        <v>0</v>
      </c>
      <c r="J203" s="76" t="b">
        <v>0</v>
      </c>
      <c r="K203" s="76" t="b">
        <v>0</v>
      </c>
      <c r="L203" s="76" t="b">
        <v>0</v>
      </c>
    </row>
    <row r="204" spans="1:12" ht="15">
      <c r="A204" s="73" t="s">
        <v>1650</v>
      </c>
      <c r="B204" s="76" t="s">
        <v>1492</v>
      </c>
      <c r="C204" s="76">
        <v>2</v>
      </c>
      <c r="D204" s="87">
        <v>0.0014503087147952857</v>
      </c>
      <c r="E204" s="87">
        <v>1.6953674535950745</v>
      </c>
      <c r="F204" s="76" t="s">
        <v>389</v>
      </c>
      <c r="G204" s="76" t="b">
        <v>0</v>
      </c>
      <c r="H204" s="76" t="b">
        <v>0</v>
      </c>
      <c r="I204" s="76" t="b">
        <v>0</v>
      </c>
      <c r="J204" s="76" t="b">
        <v>0</v>
      </c>
      <c r="K204" s="76" t="b">
        <v>0</v>
      </c>
      <c r="L204" s="76" t="b">
        <v>0</v>
      </c>
    </row>
    <row r="205" spans="1:12" ht="15">
      <c r="A205" s="73" t="s">
        <v>1492</v>
      </c>
      <c r="B205" s="76" t="s">
        <v>1651</v>
      </c>
      <c r="C205" s="76">
        <v>2</v>
      </c>
      <c r="D205" s="87">
        <v>0.0014503087147952857</v>
      </c>
      <c r="E205" s="87">
        <v>1.704912771501305</v>
      </c>
      <c r="F205" s="76" t="s">
        <v>389</v>
      </c>
      <c r="G205" s="76" t="b">
        <v>0</v>
      </c>
      <c r="H205" s="76" t="b">
        <v>0</v>
      </c>
      <c r="I205" s="76" t="b">
        <v>0</v>
      </c>
      <c r="J205" s="76" t="b">
        <v>0</v>
      </c>
      <c r="K205" s="76" t="b">
        <v>0</v>
      </c>
      <c r="L205" s="76" t="b">
        <v>0</v>
      </c>
    </row>
    <row r="206" spans="1:12" ht="15">
      <c r="A206" s="73" t="s">
        <v>1651</v>
      </c>
      <c r="B206" s="76" t="s">
        <v>363</v>
      </c>
      <c r="C206" s="76">
        <v>2</v>
      </c>
      <c r="D206" s="87">
        <v>0.0014503087147952857</v>
      </c>
      <c r="E206" s="87">
        <v>1.2647036001144134</v>
      </c>
      <c r="F206" s="76" t="s">
        <v>389</v>
      </c>
      <c r="G206" s="76" t="b">
        <v>0</v>
      </c>
      <c r="H206" s="76" t="b">
        <v>0</v>
      </c>
      <c r="I206" s="76" t="b">
        <v>0</v>
      </c>
      <c r="J206" s="76" t="b">
        <v>0</v>
      </c>
      <c r="K206" s="76" t="b">
        <v>0</v>
      </c>
      <c r="L206" s="76" t="b">
        <v>0</v>
      </c>
    </row>
    <row r="207" spans="1:12" ht="15">
      <c r="A207" s="73" t="s">
        <v>363</v>
      </c>
      <c r="B207" s="76" t="s">
        <v>1652</v>
      </c>
      <c r="C207" s="76">
        <v>2</v>
      </c>
      <c r="D207" s="87">
        <v>0.0014503087147952857</v>
      </c>
      <c r="E207" s="87">
        <v>1.2789440392290237</v>
      </c>
      <c r="F207" s="76" t="s">
        <v>389</v>
      </c>
      <c r="G207" s="76" t="b">
        <v>0</v>
      </c>
      <c r="H207" s="76" t="b">
        <v>0</v>
      </c>
      <c r="I207" s="76" t="b">
        <v>0</v>
      </c>
      <c r="J207" s="76" t="b">
        <v>1</v>
      </c>
      <c r="K207" s="76" t="b">
        <v>0</v>
      </c>
      <c r="L207" s="76" t="b">
        <v>0</v>
      </c>
    </row>
    <row r="208" spans="1:12" ht="15">
      <c r="A208" s="73" t="s">
        <v>1652</v>
      </c>
      <c r="B208" s="76" t="s">
        <v>1621</v>
      </c>
      <c r="C208" s="76">
        <v>2</v>
      </c>
      <c r="D208" s="87">
        <v>0.0014503087147952857</v>
      </c>
      <c r="E208" s="87">
        <v>2.881004030556986</v>
      </c>
      <c r="F208" s="76" t="s">
        <v>389</v>
      </c>
      <c r="G208" s="76" t="b">
        <v>1</v>
      </c>
      <c r="H208" s="76" t="b">
        <v>0</v>
      </c>
      <c r="I208" s="76" t="b">
        <v>0</v>
      </c>
      <c r="J208" s="76" t="b">
        <v>0</v>
      </c>
      <c r="K208" s="76" t="b">
        <v>0</v>
      </c>
      <c r="L208" s="76" t="b">
        <v>0</v>
      </c>
    </row>
    <row r="209" spans="1:12" ht="15">
      <c r="A209" s="73" t="s">
        <v>1621</v>
      </c>
      <c r="B209" s="76" t="s">
        <v>1653</v>
      </c>
      <c r="C209" s="76">
        <v>2</v>
      </c>
      <c r="D209" s="87">
        <v>0.0014503087147952857</v>
      </c>
      <c r="E209" s="87">
        <v>2.881004030556986</v>
      </c>
      <c r="F209" s="76" t="s">
        <v>389</v>
      </c>
      <c r="G209" s="76" t="b">
        <v>0</v>
      </c>
      <c r="H209" s="76" t="b">
        <v>0</v>
      </c>
      <c r="I209" s="76" t="b">
        <v>0</v>
      </c>
      <c r="J209" s="76" t="b">
        <v>0</v>
      </c>
      <c r="K209" s="76" t="b">
        <v>0</v>
      </c>
      <c r="L209" s="76" t="b">
        <v>0</v>
      </c>
    </row>
    <row r="210" spans="1:12" ht="15">
      <c r="A210" s="73" t="s">
        <v>1653</v>
      </c>
      <c r="B210" s="76" t="s">
        <v>370</v>
      </c>
      <c r="C210" s="76">
        <v>2</v>
      </c>
      <c r="D210" s="87">
        <v>0.0014503087147952857</v>
      </c>
      <c r="E210" s="87">
        <v>2.244181932969812</v>
      </c>
      <c r="F210" s="76" t="s">
        <v>389</v>
      </c>
      <c r="G210" s="76" t="b">
        <v>0</v>
      </c>
      <c r="H210" s="76" t="b">
        <v>0</v>
      </c>
      <c r="I210" s="76" t="b">
        <v>0</v>
      </c>
      <c r="J210" s="76" t="b">
        <v>0</v>
      </c>
      <c r="K210" s="76" t="b">
        <v>0</v>
      </c>
      <c r="L210" s="76" t="b">
        <v>0</v>
      </c>
    </row>
    <row r="211" spans="1:12" ht="15">
      <c r="A211" s="73" t="s">
        <v>370</v>
      </c>
      <c r="B211" s="76" t="s">
        <v>1654</v>
      </c>
      <c r="C211" s="76">
        <v>2</v>
      </c>
      <c r="D211" s="87">
        <v>0.0014503087147952857</v>
      </c>
      <c r="E211" s="87">
        <v>2.244181932969812</v>
      </c>
      <c r="F211" s="76" t="s">
        <v>389</v>
      </c>
      <c r="G211" s="76" t="b">
        <v>0</v>
      </c>
      <c r="H211" s="76" t="b">
        <v>0</v>
      </c>
      <c r="I211" s="76" t="b">
        <v>0</v>
      </c>
      <c r="J211" s="76" t="b">
        <v>0</v>
      </c>
      <c r="K211" s="76" t="b">
        <v>0</v>
      </c>
      <c r="L211" s="76" t="b">
        <v>0</v>
      </c>
    </row>
    <row r="212" spans="1:12" ht="15">
      <c r="A212" s="73" t="s">
        <v>1654</v>
      </c>
      <c r="B212" s="76" t="s">
        <v>1655</v>
      </c>
      <c r="C212" s="76">
        <v>2</v>
      </c>
      <c r="D212" s="87">
        <v>0.0014503087147952857</v>
      </c>
      <c r="E212" s="87">
        <v>3.0570952896126675</v>
      </c>
      <c r="F212" s="76" t="s">
        <v>389</v>
      </c>
      <c r="G212" s="76" t="b">
        <v>0</v>
      </c>
      <c r="H212" s="76" t="b">
        <v>0</v>
      </c>
      <c r="I212" s="76" t="b">
        <v>0</v>
      </c>
      <c r="J212" s="76" t="b">
        <v>0</v>
      </c>
      <c r="K212" s="76" t="b">
        <v>0</v>
      </c>
      <c r="L212" s="76" t="b">
        <v>0</v>
      </c>
    </row>
    <row r="213" spans="1:12" ht="15">
      <c r="A213" s="73" t="s">
        <v>1655</v>
      </c>
      <c r="B213" s="76" t="s">
        <v>1656</v>
      </c>
      <c r="C213" s="76">
        <v>2</v>
      </c>
      <c r="D213" s="87">
        <v>0.0014503087147952857</v>
      </c>
      <c r="E213" s="87">
        <v>3.0570952896126675</v>
      </c>
      <c r="F213" s="76" t="s">
        <v>389</v>
      </c>
      <c r="G213" s="76" t="b">
        <v>0</v>
      </c>
      <c r="H213" s="76" t="b">
        <v>0</v>
      </c>
      <c r="I213" s="76" t="b">
        <v>0</v>
      </c>
      <c r="J213" s="76" t="b">
        <v>0</v>
      </c>
      <c r="K213" s="76" t="b">
        <v>0</v>
      </c>
      <c r="L213" s="76" t="b">
        <v>0</v>
      </c>
    </row>
    <row r="214" spans="1:12" ht="15">
      <c r="A214" s="73" t="s">
        <v>1656</v>
      </c>
      <c r="B214" s="76" t="s">
        <v>1657</v>
      </c>
      <c r="C214" s="76">
        <v>2</v>
      </c>
      <c r="D214" s="87">
        <v>0.0014503087147952857</v>
      </c>
      <c r="E214" s="87">
        <v>3.0570952896126675</v>
      </c>
      <c r="F214" s="76" t="s">
        <v>389</v>
      </c>
      <c r="G214" s="76" t="b">
        <v>0</v>
      </c>
      <c r="H214" s="76" t="b">
        <v>0</v>
      </c>
      <c r="I214" s="76" t="b">
        <v>0</v>
      </c>
      <c r="J214" s="76" t="b">
        <v>0</v>
      </c>
      <c r="K214" s="76" t="b">
        <v>0</v>
      </c>
      <c r="L214" s="76" t="b">
        <v>0</v>
      </c>
    </row>
    <row r="215" spans="1:12" ht="15">
      <c r="A215" s="73" t="s">
        <v>1657</v>
      </c>
      <c r="B215" s="76" t="s">
        <v>1590</v>
      </c>
      <c r="C215" s="76">
        <v>2</v>
      </c>
      <c r="D215" s="87">
        <v>0.0014503087147952857</v>
      </c>
      <c r="E215" s="87">
        <v>2.7560652939486863</v>
      </c>
      <c r="F215" s="76" t="s">
        <v>389</v>
      </c>
      <c r="G215" s="76" t="b">
        <v>0</v>
      </c>
      <c r="H215" s="76" t="b">
        <v>0</v>
      </c>
      <c r="I215" s="76" t="b">
        <v>0</v>
      </c>
      <c r="J215" s="76" t="b">
        <v>1</v>
      </c>
      <c r="K215" s="76" t="b">
        <v>0</v>
      </c>
      <c r="L215" s="76" t="b">
        <v>0</v>
      </c>
    </row>
    <row r="216" spans="1:12" ht="15">
      <c r="A216" s="73" t="s">
        <v>1590</v>
      </c>
      <c r="B216" s="76" t="s">
        <v>1658</v>
      </c>
      <c r="C216" s="76">
        <v>2</v>
      </c>
      <c r="D216" s="87">
        <v>0.0014503087147952857</v>
      </c>
      <c r="E216" s="87">
        <v>2.7560652939486863</v>
      </c>
      <c r="F216" s="76" t="s">
        <v>389</v>
      </c>
      <c r="G216" s="76" t="b">
        <v>1</v>
      </c>
      <c r="H216" s="76" t="b">
        <v>0</v>
      </c>
      <c r="I216" s="76" t="b">
        <v>0</v>
      </c>
      <c r="J216" s="76" t="b">
        <v>0</v>
      </c>
      <c r="K216" s="76" t="b">
        <v>0</v>
      </c>
      <c r="L216" s="76" t="b">
        <v>0</v>
      </c>
    </row>
    <row r="217" spans="1:12" ht="15">
      <c r="A217" s="73" t="s">
        <v>1658</v>
      </c>
      <c r="B217" s="76" t="s">
        <v>1659</v>
      </c>
      <c r="C217" s="76">
        <v>2</v>
      </c>
      <c r="D217" s="87">
        <v>0.0014503087147952857</v>
      </c>
      <c r="E217" s="87">
        <v>3.0570952896126675</v>
      </c>
      <c r="F217" s="76" t="s">
        <v>389</v>
      </c>
      <c r="G217" s="76" t="b">
        <v>0</v>
      </c>
      <c r="H217" s="76" t="b">
        <v>0</v>
      </c>
      <c r="I217" s="76" t="b">
        <v>0</v>
      </c>
      <c r="J217" s="76" t="b">
        <v>0</v>
      </c>
      <c r="K217" s="76" t="b">
        <v>0</v>
      </c>
      <c r="L217" s="76" t="b">
        <v>0</v>
      </c>
    </row>
    <row r="218" spans="1:12" ht="15">
      <c r="A218" s="73" t="s">
        <v>1659</v>
      </c>
      <c r="B218" s="76" t="s">
        <v>1660</v>
      </c>
      <c r="C218" s="76">
        <v>2</v>
      </c>
      <c r="D218" s="87">
        <v>0.0014503087147952857</v>
      </c>
      <c r="E218" s="87">
        <v>3.0570952896126675</v>
      </c>
      <c r="F218" s="76" t="s">
        <v>389</v>
      </c>
      <c r="G218" s="76" t="b">
        <v>0</v>
      </c>
      <c r="H218" s="76" t="b">
        <v>0</v>
      </c>
      <c r="I218" s="76" t="b">
        <v>0</v>
      </c>
      <c r="J218" s="76" t="b">
        <v>0</v>
      </c>
      <c r="K218" s="76" t="b">
        <v>0</v>
      </c>
      <c r="L218" s="76" t="b">
        <v>0</v>
      </c>
    </row>
    <row r="219" spans="1:12" ht="15">
      <c r="A219" s="73" t="s">
        <v>1660</v>
      </c>
      <c r="B219" s="76" t="s">
        <v>1661</v>
      </c>
      <c r="C219" s="76">
        <v>2</v>
      </c>
      <c r="D219" s="87">
        <v>0.0014503087147952857</v>
      </c>
      <c r="E219" s="87">
        <v>3.0570952896126675</v>
      </c>
      <c r="F219" s="76" t="s">
        <v>389</v>
      </c>
      <c r="G219" s="76" t="b">
        <v>0</v>
      </c>
      <c r="H219" s="76" t="b">
        <v>0</v>
      </c>
      <c r="I219" s="76" t="b">
        <v>0</v>
      </c>
      <c r="J219" s="76" t="b">
        <v>0</v>
      </c>
      <c r="K219" s="76" t="b">
        <v>0</v>
      </c>
      <c r="L219" s="76" t="b">
        <v>0</v>
      </c>
    </row>
    <row r="220" spans="1:12" ht="15">
      <c r="A220" s="73" t="s">
        <v>1661</v>
      </c>
      <c r="B220" s="76" t="s">
        <v>1662</v>
      </c>
      <c r="C220" s="76">
        <v>2</v>
      </c>
      <c r="D220" s="87">
        <v>0.0014503087147952857</v>
      </c>
      <c r="E220" s="87">
        <v>3.0570952896126675</v>
      </c>
      <c r="F220" s="76" t="s">
        <v>389</v>
      </c>
      <c r="G220" s="76" t="b">
        <v>0</v>
      </c>
      <c r="H220" s="76" t="b">
        <v>0</v>
      </c>
      <c r="I220" s="76" t="b">
        <v>0</v>
      </c>
      <c r="J220" s="76" t="b">
        <v>0</v>
      </c>
      <c r="K220" s="76" t="b">
        <v>0</v>
      </c>
      <c r="L220" s="76" t="b">
        <v>0</v>
      </c>
    </row>
    <row r="221" spans="1:12" ht="15">
      <c r="A221" s="73" t="s">
        <v>1671</v>
      </c>
      <c r="B221" s="76" t="s">
        <v>1622</v>
      </c>
      <c r="C221" s="76">
        <v>2</v>
      </c>
      <c r="D221" s="87">
        <v>0.0014503087147952857</v>
      </c>
      <c r="E221" s="87">
        <v>2.881004030556986</v>
      </c>
      <c r="F221" s="76" t="s">
        <v>389</v>
      </c>
      <c r="G221" s="76" t="b">
        <v>1</v>
      </c>
      <c r="H221" s="76" t="b">
        <v>0</v>
      </c>
      <c r="I221" s="76" t="b">
        <v>0</v>
      </c>
      <c r="J221" s="76" t="b">
        <v>0</v>
      </c>
      <c r="K221" s="76" t="b">
        <v>0</v>
      </c>
      <c r="L221" s="76" t="b">
        <v>0</v>
      </c>
    </row>
    <row r="222" spans="1:12" ht="15">
      <c r="A222" s="73" t="s">
        <v>1622</v>
      </c>
      <c r="B222" s="76" t="s">
        <v>1510</v>
      </c>
      <c r="C222" s="76">
        <v>2</v>
      </c>
      <c r="D222" s="87">
        <v>0.0014503087147952857</v>
      </c>
      <c r="E222" s="87">
        <v>2.1820340262209674</v>
      </c>
      <c r="F222" s="76" t="s">
        <v>389</v>
      </c>
      <c r="G222" s="76" t="b">
        <v>0</v>
      </c>
      <c r="H222" s="76" t="b">
        <v>0</v>
      </c>
      <c r="I222" s="76" t="b">
        <v>0</v>
      </c>
      <c r="J222" s="76" t="b">
        <v>0</v>
      </c>
      <c r="K222" s="76" t="b">
        <v>0</v>
      </c>
      <c r="L222" s="76" t="b">
        <v>0</v>
      </c>
    </row>
    <row r="223" spans="1:12" ht="15">
      <c r="A223" s="73" t="s">
        <v>363</v>
      </c>
      <c r="B223" s="76" t="s">
        <v>1672</v>
      </c>
      <c r="C223" s="76">
        <v>2</v>
      </c>
      <c r="D223" s="87">
        <v>0.0014503087147952857</v>
      </c>
      <c r="E223" s="87">
        <v>1.2789440392290237</v>
      </c>
      <c r="F223" s="76" t="s">
        <v>389</v>
      </c>
      <c r="G223" s="76" t="b">
        <v>0</v>
      </c>
      <c r="H223" s="76" t="b">
        <v>0</v>
      </c>
      <c r="I223" s="76" t="b">
        <v>0</v>
      </c>
      <c r="J223" s="76" t="b">
        <v>0</v>
      </c>
      <c r="K223" s="76" t="b">
        <v>0</v>
      </c>
      <c r="L223" s="76" t="b">
        <v>0</v>
      </c>
    </row>
    <row r="224" spans="1:12" ht="15">
      <c r="A224" s="73" t="s">
        <v>1672</v>
      </c>
      <c r="B224" s="76" t="s">
        <v>1591</v>
      </c>
      <c r="C224" s="76">
        <v>2</v>
      </c>
      <c r="D224" s="87">
        <v>0.0014503087147952857</v>
      </c>
      <c r="E224" s="87">
        <v>2.7560652939486863</v>
      </c>
      <c r="F224" s="76" t="s">
        <v>389</v>
      </c>
      <c r="G224" s="76" t="b">
        <v>0</v>
      </c>
      <c r="H224" s="76" t="b">
        <v>0</v>
      </c>
      <c r="I224" s="76" t="b">
        <v>0</v>
      </c>
      <c r="J224" s="76" t="b">
        <v>0</v>
      </c>
      <c r="K224" s="76" t="b">
        <v>0</v>
      </c>
      <c r="L224" s="76" t="b">
        <v>0</v>
      </c>
    </row>
    <row r="225" spans="1:12" ht="15">
      <c r="A225" s="73" t="s">
        <v>1591</v>
      </c>
      <c r="B225" s="76" t="s">
        <v>1592</v>
      </c>
      <c r="C225" s="76">
        <v>2</v>
      </c>
      <c r="D225" s="87">
        <v>0.0014503087147952857</v>
      </c>
      <c r="E225" s="87">
        <v>2.579974034893005</v>
      </c>
      <c r="F225" s="76" t="s">
        <v>389</v>
      </c>
      <c r="G225" s="76" t="b">
        <v>0</v>
      </c>
      <c r="H225" s="76" t="b">
        <v>0</v>
      </c>
      <c r="I225" s="76" t="b">
        <v>0</v>
      </c>
      <c r="J225" s="76" t="b">
        <v>0</v>
      </c>
      <c r="K225" s="76" t="b">
        <v>0</v>
      </c>
      <c r="L225" s="76" t="b">
        <v>0</v>
      </c>
    </row>
    <row r="226" spans="1:12" ht="15">
      <c r="A226" s="73" t="s">
        <v>1592</v>
      </c>
      <c r="B226" s="76" t="s">
        <v>1591</v>
      </c>
      <c r="C226" s="76">
        <v>2</v>
      </c>
      <c r="D226" s="87">
        <v>0.0014503087147952857</v>
      </c>
      <c r="E226" s="87">
        <v>2.455035298284705</v>
      </c>
      <c r="F226" s="76" t="s">
        <v>389</v>
      </c>
      <c r="G226" s="76" t="b">
        <v>0</v>
      </c>
      <c r="H226" s="76" t="b">
        <v>0</v>
      </c>
      <c r="I226" s="76" t="b">
        <v>0</v>
      </c>
      <c r="J226" s="76" t="b">
        <v>0</v>
      </c>
      <c r="K226" s="76" t="b">
        <v>0</v>
      </c>
      <c r="L226" s="76" t="b">
        <v>0</v>
      </c>
    </row>
    <row r="227" spans="1:12" ht="15">
      <c r="A227" s="73" t="s">
        <v>1591</v>
      </c>
      <c r="B227" s="76" t="s">
        <v>1673</v>
      </c>
      <c r="C227" s="76">
        <v>2</v>
      </c>
      <c r="D227" s="87">
        <v>0.0014503087147952857</v>
      </c>
      <c r="E227" s="87">
        <v>2.7560652939486863</v>
      </c>
      <c r="F227" s="76" t="s">
        <v>389</v>
      </c>
      <c r="G227" s="76" t="b">
        <v>0</v>
      </c>
      <c r="H227" s="76" t="b">
        <v>0</v>
      </c>
      <c r="I227" s="76" t="b">
        <v>0</v>
      </c>
      <c r="J227" s="76" t="b">
        <v>0</v>
      </c>
      <c r="K227" s="76" t="b">
        <v>0</v>
      </c>
      <c r="L227" s="76" t="b">
        <v>0</v>
      </c>
    </row>
    <row r="228" spans="1:12" ht="15">
      <c r="A228" s="73" t="s">
        <v>1673</v>
      </c>
      <c r="B228" s="76" t="s">
        <v>642</v>
      </c>
      <c r="C228" s="76">
        <v>2</v>
      </c>
      <c r="D228" s="87">
        <v>0.0014503087147952857</v>
      </c>
      <c r="E228" s="87">
        <v>2.579974034893005</v>
      </c>
      <c r="F228" s="76" t="s">
        <v>389</v>
      </c>
      <c r="G228" s="76" t="b">
        <v>0</v>
      </c>
      <c r="H228" s="76" t="b">
        <v>0</v>
      </c>
      <c r="I228" s="76" t="b">
        <v>0</v>
      </c>
      <c r="J228" s="76" t="b">
        <v>0</v>
      </c>
      <c r="K228" s="76" t="b">
        <v>0</v>
      </c>
      <c r="L228" s="76" t="b">
        <v>0</v>
      </c>
    </row>
    <row r="229" spans="1:12" ht="15">
      <c r="A229" s="73" t="s">
        <v>368</v>
      </c>
      <c r="B229" s="76" t="s">
        <v>1492</v>
      </c>
      <c r="C229" s="76">
        <v>2</v>
      </c>
      <c r="D229" s="87">
        <v>0.0014503087147952857</v>
      </c>
      <c r="E229" s="87">
        <v>0.8502694135808176</v>
      </c>
      <c r="F229" s="76" t="s">
        <v>389</v>
      </c>
      <c r="G229" s="76" t="b">
        <v>0</v>
      </c>
      <c r="H229" s="76" t="b">
        <v>0</v>
      </c>
      <c r="I229" s="76" t="b">
        <v>0</v>
      </c>
      <c r="J229" s="76" t="b">
        <v>0</v>
      </c>
      <c r="K229" s="76" t="b">
        <v>0</v>
      </c>
      <c r="L229" s="76" t="b">
        <v>0</v>
      </c>
    </row>
    <row r="230" spans="1:12" ht="15">
      <c r="A230" s="73" t="s">
        <v>1492</v>
      </c>
      <c r="B230" s="76" t="s">
        <v>1675</v>
      </c>
      <c r="C230" s="76">
        <v>2</v>
      </c>
      <c r="D230" s="87">
        <v>0.0014503087147952857</v>
      </c>
      <c r="E230" s="87">
        <v>1.704912771501305</v>
      </c>
      <c r="F230" s="76" t="s">
        <v>389</v>
      </c>
      <c r="G230" s="76" t="b">
        <v>0</v>
      </c>
      <c r="H230" s="76" t="b">
        <v>0</v>
      </c>
      <c r="I230" s="76" t="b">
        <v>0</v>
      </c>
      <c r="J230" s="76" t="b">
        <v>0</v>
      </c>
      <c r="K230" s="76" t="b">
        <v>0</v>
      </c>
      <c r="L230" s="76" t="b">
        <v>0</v>
      </c>
    </row>
    <row r="231" spans="1:12" ht="15">
      <c r="A231" s="73" t="s">
        <v>1675</v>
      </c>
      <c r="B231" s="76" t="s">
        <v>1560</v>
      </c>
      <c r="C231" s="76">
        <v>2</v>
      </c>
      <c r="D231" s="87">
        <v>0.0014503087147952857</v>
      </c>
      <c r="E231" s="87">
        <v>2.513027245262392</v>
      </c>
      <c r="F231" s="76" t="s">
        <v>389</v>
      </c>
      <c r="G231" s="76" t="b">
        <v>0</v>
      </c>
      <c r="H231" s="76" t="b">
        <v>0</v>
      </c>
      <c r="I231" s="76" t="b">
        <v>0</v>
      </c>
      <c r="J231" s="76" t="b">
        <v>0</v>
      </c>
      <c r="K231" s="76" t="b">
        <v>0</v>
      </c>
      <c r="L231" s="76" t="b">
        <v>0</v>
      </c>
    </row>
    <row r="232" spans="1:12" ht="15">
      <c r="A232" s="73" t="s">
        <v>1561</v>
      </c>
      <c r="B232" s="76" t="s">
        <v>1491</v>
      </c>
      <c r="C232" s="76">
        <v>2</v>
      </c>
      <c r="D232" s="87">
        <v>0.0014503087147952857</v>
      </c>
      <c r="E232" s="87">
        <v>1.1238611608978593</v>
      </c>
      <c r="F232" s="76" t="s">
        <v>389</v>
      </c>
      <c r="G232" s="76" t="b">
        <v>0</v>
      </c>
      <c r="H232" s="76" t="b">
        <v>0</v>
      </c>
      <c r="I232" s="76" t="b">
        <v>0</v>
      </c>
      <c r="J232" s="76" t="b">
        <v>0</v>
      </c>
      <c r="K232" s="76" t="b">
        <v>0</v>
      </c>
      <c r="L232" s="76" t="b">
        <v>0</v>
      </c>
    </row>
    <row r="233" spans="1:12" ht="15">
      <c r="A233" s="73" t="s">
        <v>1491</v>
      </c>
      <c r="B233" s="76" t="s">
        <v>363</v>
      </c>
      <c r="C233" s="76">
        <v>2</v>
      </c>
      <c r="D233" s="87">
        <v>0.0014503087147952857</v>
      </c>
      <c r="E233" s="87">
        <v>-0.13323640855762403</v>
      </c>
      <c r="F233" s="76" t="s">
        <v>389</v>
      </c>
      <c r="G233" s="76" t="b">
        <v>0</v>
      </c>
      <c r="H233" s="76" t="b">
        <v>0</v>
      </c>
      <c r="I233" s="76" t="b">
        <v>0</v>
      </c>
      <c r="J233" s="76" t="b">
        <v>0</v>
      </c>
      <c r="K233" s="76" t="b">
        <v>0</v>
      </c>
      <c r="L233" s="76" t="b">
        <v>0</v>
      </c>
    </row>
    <row r="234" spans="1:12" ht="15">
      <c r="A234" s="73" t="s">
        <v>1680</v>
      </c>
      <c r="B234" s="76" t="s">
        <v>1628</v>
      </c>
      <c r="C234" s="76">
        <v>2</v>
      </c>
      <c r="D234" s="87">
        <v>0.0014503087147952857</v>
      </c>
      <c r="E234" s="87">
        <v>2.881004030556986</v>
      </c>
      <c r="F234" s="76" t="s">
        <v>389</v>
      </c>
      <c r="G234" s="76" t="b">
        <v>0</v>
      </c>
      <c r="H234" s="76" t="b">
        <v>0</v>
      </c>
      <c r="I234" s="76" t="b">
        <v>0</v>
      </c>
      <c r="J234" s="76" t="b">
        <v>0</v>
      </c>
      <c r="K234" s="76" t="b">
        <v>0</v>
      </c>
      <c r="L234" s="76" t="b">
        <v>0</v>
      </c>
    </row>
    <row r="235" spans="1:12" ht="15">
      <c r="A235" s="73" t="s">
        <v>1504</v>
      </c>
      <c r="B235" s="76" t="s">
        <v>1684</v>
      </c>
      <c r="C235" s="76">
        <v>2</v>
      </c>
      <c r="D235" s="87">
        <v>0.0014503087147952857</v>
      </c>
      <c r="E235" s="87">
        <v>2.1540053026207238</v>
      </c>
      <c r="F235" s="76" t="s">
        <v>389</v>
      </c>
      <c r="G235" s="76" t="b">
        <v>0</v>
      </c>
      <c r="H235" s="76" t="b">
        <v>0</v>
      </c>
      <c r="I235" s="76" t="b">
        <v>0</v>
      </c>
      <c r="J235" s="76" t="b">
        <v>0</v>
      </c>
      <c r="K235" s="76" t="b">
        <v>0</v>
      </c>
      <c r="L235" s="76" t="b">
        <v>0</v>
      </c>
    </row>
    <row r="236" spans="1:12" ht="15">
      <c r="A236" s="73" t="s">
        <v>1684</v>
      </c>
      <c r="B236" s="76" t="s">
        <v>1599</v>
      </c>
      <c r="C236" s="76">
        <v>2</v>
      </c>
      <c r="D236" s="87">
        <v>0.0014503087147952857</v>
      </c>
      <c r="E236" s="87">
        <v>2.7560652939486863</v>
      </c>
      <c r="F236" s="76" t="s">
        <v>389</v>
      </c>
      <c r="G236" s="76" t="b">
        <v>0</v>
      </c>
      <c r="H236" s="76" t="b">
        <v>0</v>
      </c>
      <c r="I236" s="76" t="b">
        <v>0</v>
      </c>
      <c r="J236" s="76" t="b">
        <v>0</v>
      </c>
      <c r="K236" s="76" t="b">
        <v>0</v>
      </c>
      <c r="L236" s="76" t="b">
        <v>0</v>
      </c>
    </row>
    <row r="237" spans="1:12" ht="15">
      <c r="A237" s="73" t="s">
        <v>1599</v>
      </c>
      <c r="B237" s="76" t="s">
        <v>1685</v>
      </c>
      <c r="C237" s="76">
        <v>2</v>
      </c>
      <c r="D237" s="87">
        <v>0.0014503087147952857</v>
      </c>
      <c r="E237" s="87">
        <v>2.7560652939486863</v>
      </c>
      <c r="F237" s="76" t="s">
        <v>389</v>
      </c>
      <c r="G237" s="76" t="b">
        <v>0</v>
      </c>
      <c r="H237" s="76" t="b">
        <v>0</v>
      </c>
      <c r="I237" s="76" t="b">
        <v>0</v>
      </c>
      <c r="J237" s="76" t="b">
        <v>0</v>
      </c>
      <c r="K237" s="76" t="b">
        <v>0</v>
      </c>
      <c r="L237" s="76" t="b">
        <v>0</v>
      </c>
    </row>
    <row r="238" spans="1:12" ht="15">
      <c r="A238" s="73" t="s">
        <v>1685</v>
      </c>
      <c r="B238" s="76" t="s">
        <v>1686</v>
      </c>
      <c r="C238" s="76">
        <v>2</v>
      </c>
      <c r="D238" s="87">
        <v>0.0014503087147952857</v>
      </c>
      <c r="E238" s="87">
        <v>3.0570952896126675</v>
      </c>
      <c r="F238" s="76" t="s">
        <v>389</v>
      </c>
      <c r="G238" s="76" t="b">
        <v>0</v>
      </c>
      <c r="H238" s="76" t="b">
        <v>0</v>
      </c>
      <c r="I238" s="76" t="b">
        <v>0</v>
      </c>
      <c r="J238" s="76" t="b">
        <v>0</v>
      </c>
      <c r="K238" s="76" t="b">
        <v>0</v>
      </c>
      <c r="L238" s="76" t="b">
        <v>0</v>
      </c>
    </row>
    <row r="239" spans="1:12" ht="15">
      <c r="A239" s="73" t="s">
        <v>1686</v>
      </c>
      <c r="B239" s="76" t="s">
        <v>1687</v>
      </c>
      <c r="C239" s="76">
        <v>2</v>
      </c>
      <c r="D239" s="87">
        <v>0.0014503087147952857</v>
      </c>
      <c r="E239" s="87">
        <v>3.0570952896126675</v>
      </c>
      <c r="F239" s="76" t="s">
        <v>389</v>
      </c>
      <c r="G239" s="76" t="b">
        <v>0</v>
      </c>
      <c r="H239" s="76" t="b">
        <v>0</v>
      </c>
      <c r="I239" s="76" t="b">
        <v>0</v>
      </c>
      <c r="J239" s="76" t="b">
        <v>0</v>
      </c>
      <c r="K239" s="76" t="b">
        <v>0</v>
      </c>
      <c r="L239" s="76" t="b">
        <v>0</v>
      </c>
    </row>
    <row r="240" spans="1:12" ht="15">
      <c r="A240" s="73" t="s">
        <v>1687</v>
      </c>
      <c r="B240" s="76" t="s">
        <v>1501</v>
      </c>
      <c r="C240" s="76">
        <v>2</v>
      </c>
      <c r="D240" s="87">
        <v>0.0014503087147952857</v>
      </c>
      <c r="E240" s="87">
        <v>2.1276763638983747</v>
      </c>
      <c r="F240" s="76" t="s">
        <v>389</v>
      </c>
      <c r="G240" s="76" t="b">
        <v>0</v>
      </c>
      <c r="H240" s="76" t="b">
        <v>0</v>
      </c>
      <c r="I240" s="76" t="b">
        <v>0</v>
      </c>
      <c r="J240" s="76" t="b">
        <v>0</v>
      </c>
      <c r="K240" s="76" t="b">
        <v>0</v>
      </c>
      <c r="L240" s="76" t="b">
        <v>0</v>
      </c>
    </row>
    <row r="241" spans="1:12" ht="15">
      <c r="A241" s="73" t="s">
        <v>1501</v>
      </c>
      <c r="B241" s="76" t="s">
        <v>1688</v>
      </c>
      <c r="C241" s="76">
        <v>2</v>
      </c>
      <c r="D241" s="87">
        <v>0.0014503087147952857</v>
      </c>
      <c r="E241" s="87">
        <v>2.1276763638983747</v>
      </c>
      <c r="F241" s="76" t="s">
        <v>389</v>
      </c>
      <c r="G241" s="76" t="b">
        <v>0</v>
      </c>
      <c r="H241" s="76" t="b">
        <v>0</v>
      </c>
      <c r="I241" s="76" t="b">
        <v>0</v>
      </c>
      <c r="J241" s="76" t="b">
        <v>0</v>
      </c>
      <c r="K241" s="76" t="b">
        <v>0</v>
      </c>
      <c r="L241" s="76" t="b">
        <v>0</v>
      </c>
    </row>
    <row r="242" spans="1:12" ht="15">
      <c r="A242" s="73" t="s">
        <v>1688</v>
      </c>
      <c r="B242" s="76" t="s">
        <v>1689</v>
      </c>
      <c r="C242" s="76">
        <v>2</v>
      </c>
      <c r="D242" s="87">
        <v>0.0014503087147952857</v>
      </c>
      <c r="E242" s="87">
        <v>3.0570952896126675</v>
      </c>
      <c r="F242" s="76" t="s">
        <v>389</v>
      </c>
      <c r="G242" s="76" t="b">
        <v>0</v>
      </c>
      <c r="H242" s="76" t="b">
        <v>0</v>
      </c>
      <c r="I242" s="76" t="b">
        <v>0</v>
      </c>
      <c r="J242" s="76" t="b">
        <v>0</v>
      </c>
      <c r="K242" s="76" t="b">
        <v>0</v>
      </c>
      <c r="L242" s="76" t="b">
        <v>0</v>
      </c>
    </row>
    <row r="243" spans="1:12" ht="15">
      <c r="A243" s="73" t="s">
        <v>1689</v>
      </c>
      <c r="B243" s="76" t="s">
        <v>383</v>
      </c>
      <c r="C243" s="76">
        <v>2</v>
      </c>
      <c r="D243" s="87">
        <v>0.0014503087147952857</v>
      </c>
      <c r="E243" s="87">
        <v>2.6591552809406296</v>
      </c>
      <c r="F243" s="76" t="s">
        <v>389</v>
      </c>
      <c r="G243" s="76" t="b">
        <v>0</v>
      </c>
      <c r="H243" s="76" t="b">
        <v>0</v>
      </c>
      <c r="I243" s="76" t="b">
        <v>0</v>
      </c>
      <c r="J243" s="76" t="b">
        <v>0</v>
      </c>
      <c r="K243" s="76" t="b">
        <v>0</v>
      </c>
      <c r="L243" s="76" t="b">
        <v>0</v>
      </c>
    </row>
    <row r="244" spans="1:12" ht="15">
      <c r="A244" s="73" t="s">
        <v>383</v>
      </c>
      <c r="B244" s="76" t="s">
        <v>1690</v>
      </c>
      <c r="C244" s="76">
        <v>2</v>
      </c>
      <c r="D244" s="87">
        <v>0.0014503087147952857</v>
      </c>
      <c r="E244" s="87">
        <v>2.4038827758373236</v>
      </c>
      <c r="F244" s="76" t="s">
        <v>389</v>
      </c>
      <c r="G244" s="76" t="b">
        <v>0</v>
      </c>
      <c r="H244" s="76" t="b">
        <v>0</v>
      </c>
      <c r="I244" s="76" t="b">
        <v>0</v>
      </c>
      <c r="J244" s="76" t="b">
        <v>0</v>
      </c>
      <c r="K244" s="76" t="b">
        <v>0</v>
      </c>
      <c r="L244" s="76" t="b">
        <v>0</v>
      </c>
    </row>
    <row r="245" spans="1:12" ht="15">
      <c r="A245" s="73" t="s">
        <v>1690</v>
      </c>
      <c r="B245" s="76" t="s">
        <v>1691</v>
      </c>
      <c r="C245" s="76">
        <v>2</v>
      </c>
      <c r="D245" s="87">
        <v>0.0014503087147952857</v>
      </c>
      <c r="E245" s="87">
        <v>3.0570952896126675</v>
      </c>
      <c r="F245" s="76" t="s">
        <v>389</v>
      </c>
      <c r="G245" s="76" t="b">
        <v>0</v>
      </c>
      <c r="H245" s="76" t="b">
        <v>0</v>
      </c>
      <c r="I245" s="76" t="b">
        <v>0</v>
      </c>
      <c r="J245" s="76" t="b">
        <v>1</v>
      </c>
      <c r="K245" s="76" t="b">
        <v>0</v>
      </c>
      <c r="L245" s="76" t="b">
        <v>0</v>
      </c>
    </row>
    <row r="246" spans="1:12" ht="15">
      <c r="A246" s="73" t="s">
        <v>1691</v>
      </c>
      <c r="B246" s="76" t="s">
        <v>1692</v>
      </c>
      <c r="C246" s="76">
        <v>2</v>
      </c>
      <c r="D246" s="87">
        <v>0.0014503087147952857</v>
      </c>
      <c r="E246" s="87">
        <v>3.0570952896126675</v>
      </c>
      <c r="F246" s="76" t="s">
        <v>389</v>
      </c>
      <c r="G246" s="76" t="b">
        <v>1</v>
      </c>
      <c r="H246" s="76" t="b">
        <v>0</v>
      </c>
      <c r="I246" s="76" t="b">
        <v>0</v>
      </c>
      <c r="J246" s="76" t="b">
        <v>0</v>
      </c>
      <c r="K246" s="76" t="b">
        <v>0</v>
      </c>
      <c r="L246" s="76" t="b">
        <v>0</v>
      </c>
    </row>
    <row r="247" spans="1:12" ht="15">
      <c r="A247" s="73" t="s">
        <v>1692</v>
      </c>
      <c r="B247" s="76" t="s">
        <v>360</v>
      </c>
      <c r="C247" s="76">
        <v>2</v>
      </c>
      <c r="D247" s="87">
        <v>0.0014503087147952857</v>
      </c>
      <c r="E247" s="87">
        <v>1.399083892955555</v>
      </c>
      <c r="F247" s="76" t="s">
        <v>389</v>
      </c>
      <c r="G247" s="76" t="b">
        <v>0</v>
      </c>
      <c r="H247" s="76" t="b">
        <v>0</v>
      </c>
      <c r="I247" s="76" t="b">
        <v>0</v>
      </c>
      <c r="J247" s="76" t="b">
        <v>0</v>
      </c>
      <c r="K247" s="76" t="b">
        <v>0</v>
      </c>
      <c r="L247" s="76" t="b">
        <v>0</v>
      </c>
    </row>
    <row r="248" spans="1:12" ht="15">
      <c r="A248" s="73" t="s">
        <v>363</v>
      </c>
      <c r="B248" s="76" t="s">
        <v>1599</v>
      </c>
      <c r="C248" s="76">
        <v>2</v>
      </c>
      <c r="D248" s="87">
        <v>0.0014503087147952857</v>
      </c>
      <c r="E248" s="87">
        <v>0.9779140435650425</v>
      </c>
      <c r="F248" s="76" t="s">
        <v>389</v>
      </c>
      <c r="G248" s="76" t="b">
        <v>0</v>
      </c>
      <c r="H248" s="76" t="b">
        <v>0</v>
      </c>
      <c r="I248" s="76" t="b">
        <v>0</v>
      </c>
      <c r="J248" s="76" t="b">
        <v>0</v>
      </c>
      <c r="K248" s="76" t="b">
        <v>0</v>
      </c>
      <c r="L248" s="76" t="b">
        <v>0</v>
      </c>
    </row>
    <row r="249" spans="1:12" ht="15">
      <c r="A249" s="73" t="s">
        <v>1599</v>
      </c>
      <c r="B249" s="76" t="s">
        <v>638</v>
      </c>
      <c r="C249" s="76">
        <v>2</v>
      </c>
      <c r="D249" s="87">
        <v>0.0014503087147952857</v>
      </c>
      <c r="E249" s="87">
        <v>2.7560652939486863</v>
      </c>
      <c r="F249" s="76" t="s">
        <v>389</v>
      </c>
      <c r="G249" s="76" t="b">
        <v>0</v>
      </c>
      <c r="H249" s="76" t="b">
        <v>0</v>
      </c>
      <c r="I249" s="76" t="b">
        <v>0</v>
      </c>
      <c r="J249" s="76" t="b">
        <v>0</v>
      </c>
      <c r="K249" s="76" t="b">
        <v>0</v>
      </c>
      <c r="L249" s="76" t="b">
        <v>0</v>
      </c>
    </row>
    <row r="250" spans="1:12" ht="15">
      <c r="A250" s="73" t="s">
        <v>638</v>
      </c>
      <c r="B250" s="76" t="s">
        <v>1693</v>
      </c>
      <c r="C250" s="76">
        <v>2</v>
      </c>
      <c r="D250" s="87">
        <v>0.0014503087147952857</v>
      </c>
      <c r="E250" s="87">
        <v>3.0570952896126675</v>
      </c>
      <c r="F250" s="76" t="s">
        <v>389</v>
      </c>
      <c r="G250" s="76" t="b">
        <v>0</v>
      </c>
      <c r="H250" s="76" t="b">
        <v>0</v>
      </c>
      <c r="I250" s="76" t="b">
        <v>0</v>
      </c>
      <c r="J250" s="76" t="b">
        <v>0</v>
      </c>
      <c r="K250" s="76" t="b">
        <v>0</v>
      </c>
      <c r="L250" s="76" t="b">
        <v>0</v>
      </c>
    </row>
    <row r="251" spans="1:12" ht="15">
      <c r="A251" s="73" t="s">
        <v>1693</v>
      </c>
      <c r="B251" s="76" t="s">
        <v>1694</v>
      </c>
      <c r="C251" s="76">
        <v>2</v>
      </c>
      <c r="D251" s="87">
        <v>0.0014503087147952857</v>
      </c>
      <c r="E251" s="87">
        <v>3.0570952896126675</v>
      </c>
      <c r="F251" s="76" t="s">
        <v>389</v>
      </c>
      <c r="G251" s="76" t="b">
        <v>0</v>
      </c>
      <c r="H251" s="76" t="b">
        <v>0</v>
      </c>
      <c r="I251" s="76" t="b">
        <v>0</v>
      </c>
      <c r="J251" s="76" t="b">
        <v>0</v>
      </c>
      <c r="K251" s="76" t="b">
        <v>0</v>
      </c>
      <c r="L251" s="76" t="b">
        <v>0</v>
      </c>
    </row>
    <row r="252" spans="1:12" ht="15">
      <c r="A252" s="73" t="s">
        <v>1694</v>
      </c>
      <c r="B252" s="76" t="s">
        <v>1498</v>
      </c>
      <c r="C252" s="76">
        <v>2</v>
      </c>
      <c r="D252" s="87">
        <v>0.0014503087147952857</v>
      </c>
      <c r="E252" s="87">
        <v>2.0570952896126675</v>
      </c>
      <c r="F252" s="76" t="s">
        <v>389</v>
      </c>
      <c r="G252" s="76" t="b">
        <v>0</v>
      </c>
      <c r="H252" s="76" t="b">
        <v>0</v>
      </c>
      <c r="I252" s="76" t="b">
        <v>0</v>
      </c>
      <c r="J252" s="76" t="b">
        <v>0</v>
      </c>
      <c r="K252" s="76" t="b">
        <v>0</v>
      </c>
      <c r="L252" s="76" t="b">
        <v>0</v>
      </c>
    </row>
    <row r="253" spans="1:12" ht="15">
      <c r="A253" s="73" t="s">
        <v>1695</v>
      </c>
      <c r="B253" s="76" t="s">
        <v>1696</v>
      </c>
      <c r="C253" s="76">
        <v>2</v>
      </c>
      <c r="D253" s="87">
        <v>0.0014503087147952857</v>
      </c>
      <c r="E253" s="87">
        <v>3.0570952896126675</v>
      </c>
      <c r="F253" s="76" t="s">
        <v>389</v>
      </c>
      <c r="G253" s="76" t="b">
        <v>0</v>
      </c>
      <c r="H253" s="76" t="b">
        <v>0</v>
      </c>
      <c r="I253" s="76" t="b">
        <v>0</v>
      </c>
      <c r="J253" s="76" t="b">
        <v>0</v>
      </c>
      <c r="K253" s="76" t="b">
        <v>0</v>
      </c>
      <c r="L253" s="76" t="b">
        <v>0</v>
      </c>
    </row>
    <row r="254" spans="1:12" ht="15">
      <c r="A254" s="73" t="s">
        <v>1696</v>
      </c>
      <c r="B254" s="76" t="s">
        <v>1697</v>
      </c>
      <c r="C254" s="76">
        <v>2</v>
      </c>
      <c r="D254" s="87">
        <v>0.0014503087147952857</v>
      </c>
      <c r="E254" s="87">
        <v>3.0570952896126675</v>
      </c>
      <c r="F254" s="76" t="s">
        <v>389</v>
      </c>
      <c r="G254" s="76" t="b">
        <v>0</v>
      </c>
      <c r="H254" s="76" t="b">
        <v>0</v>
      </c>
      <c r="I254" s="76" t="b">
        <v>0</v>
      </c>
      <c r="J254" s="76" t="b">
        <v>0</v>
      </c>
      <c r="K254" s="76" t="b">
        <v>0</v>
      </c>
      <c r="L254" s="76" t="b">
        <v>0</v>
      </c>
    </row>
    <row r="255" spans="1:12" ht="15">
      <c r="A255" s="73" t="s">
        <v>1697</v>
      </c>
      <c r="B255" s="76" t="s">
        <v>1600</v>
      </c>
      <c r="C255" s="76">
        <v>2</v>
      </c>
      <c r="D255" s="87">
        <v>0.0014503087147952857</v>
      </c>
      <c r="E255" s="87">
        <v>2.7560652939486863</v>
      </c>
      <c r="F255" s="76" t="s">
        <v>389</v>
      </c>
      <c r="G255" s="76" t="b">
        <v>0</v>
      </c>
      <c r="H255" s="76" t="b">
        <v>0</v>
      </c>
      <c r="I255" s="76" t="b">
        <v>0</v>
      </c>
      <c r="J255" s="76" t="b">
        <v>0</v>
      </c>
      <c r="K255" s="76" t="b">
        <v>0</v>
      </c>
      <c r="L255" s="76" t="b">
        <v>0</v>
      </c>
    </row>
    <row r="256" spans="1:12" ht="15">
      <c r="A256" s="73" t="s">
        <v>1601</v>
      </c>
      <c r="B256" s="76" t="s">
        <v>1511</v>
      </c>
      <c r="C256" s="76">
        <v>2</v>
      </c>
      <c r="D256" s="87">
        <v>0.0014503087147952857</v>
      </c>
      <c r="E256" s="87">
        <v>1.8810040305569862</v>
      </c>
      <c r="F256" s="76" t="s">
        <v>389</v>
      </c>
      <c r="G256" s="76" t="b">
        <v>0</v>
      </c>
      <c r="H256" s="76" t="b">
        <v>0</v>
      </c>
      <c r="I256" s="76" t="b">
        <v>0</v>
      </c>
      <c r="J256" s="76" t="b">
        <v>0</v>
      </c>
      <c r="K256" s="76" t="b">
        <v>0</v>
      </c>
      <c r="L256" s="76" t="b">
        <v>0</v>
      </c>
    </row>
    <row r="257" spans="1:12" ht="15">
      <c r="A257" s="73" t="s">
        <v>1511</v>
      </c>
      <c r="B257" s="76" t="s">
        <v>1698</v>
      </c>
      <c r="C257" s="76">
        <v>2</v>
      </c>
      <c r="D257" s="87">
        <v>0.0014503087147952857</v>
      </c>
      <c r="E257" s="87">
        <v>2.1820340262209674</v>
      </c>
      <c r="F257" s="76" t="s">
        <v>389</v>
      </c>
      <c r="G257" s="76" t="b">
        <v>0</v>
      </c>
      <c r="H257" s="76" t="b">
        <v>0</v>
      </c>
      <c r="I257" s="76" t="b">
        <v>0</v>
      </c>
      <c r="J257" s="76" t="b">
        <v>1</v>
      </c>
      <c r="K257" s="76" t="b">
        <v>0</v>
      </c>
      <c r="L257" s="76" t="b">
        <v>0</v>
      </c>
    </row>
    <row r="258" spans="1:12" ht="15">
      <c r="A258" s="73" t="s">
        <v>1698</v>
      </c>
      <c r="B258" s="76" t="s">
        <v>363</v>
      </c>
      <c r="C258" s="76">
        <v>2</v>
      </c>
      <c r="D258" s="87">
        <v>0.0014503087147952857</v>
      </c>
      <c r="E258" s="87">
        <v>1.2647036001144134</v>
      </c>
      <c r="F258" s="76" t="s">
        <v>389</v>
      </c>
      <c r="G258" s="76" t="b">
        <v>1</v>
      </c>
      <c r="H258" s="76" t="b">
        <v>0</v>
      </c>
      <c r="I258" s="76" t="b">
        <v>0</v>
      </c>
      <c r="J258" s="76" t="b">
        <v>0</v>
      </c>
      <c r="K258" s="76" t="b">
        <v>0</v>
      </c>
      <c r="L258" s="76" t="b">
        <v>0</v>
      </c>
    </row>
    <row r="259" spans="1:12" ht="15">
      <c r="A259" s="73" t="s">
        <v>363</v>
      </c>
      <c r="B259" s="76" t="s">
        <v>1699</v>
      </c>
      <c r="C259" s="76">
        <v>2</v>
      </c>
      <c r="D259" s="87">
        <v>0.0014503087147952857</v>
      </c>
      <c r="E259" s="87">
        <v>1.2789440392290237</v>
      </c>
      <c r="F259" s="76" t="s">
        <v>389</v>
      </c>
      <c r="G259" s="76" t="b">
        <v>0</v>
      </c>
      <c r="H259" s="76" t="b">
        <v>0</v>
      </c>
      <c r="I259" s="76" t="b">
        <v>0</v>
      </c>
      <c r="J259" s="76" t="b">
        <v>0</v>
      </c>
      <c r="K259" s="76" t="b">
        <v>0</v>
      </c>
      <c r="L259" s="76" t="b">
        <v>0</v>
      </c>
    </row>
    <row r="260" spans="1:12" ht="15">
      <c r="A260" s="73" t="s">
        <v>1699</v>
      </c>
      <c r="B260" s="76" t="s">
        <v>1700</v>
      </c>
      <c r="C260" s="76">
        <v>2</v>
      </c>
      <c r="D260" s="87">
        <v>0.0014503087147952857</v>
      </c>
      <c r="E260" s="87">
        <v>3.0570952896126675</v>
      </c>
      <c r="F260" s="76" t="s">
        <v>389</v>
      </c>
      <c r="G260" s="76" t="b">
        <v>0</v>
      </c>
      <c r="H260" s="76" t="b">
        <v>0</v>
      </c>
      <c r="I260" s="76" t="b">
        <v>0</v>
      </c>
      <c r="J260" s="76" t="b">
        <v>0</v>
      </c>
      <c r="K260" s="76" t="b">
        <v>0</v>
      </c>
      <c r="L260" s="76" t="b">
        <v>0</v>
      </c>
    </row>
    <row r="261" spans="1:12" ht="15">
      <c r="A261" s="73" t="s">
        <v>1700</v>
      </c>
      <c r="B261" s="76" t="s">
        <v>1701</v>
      </c>
      <c r="C261" s="76">
        <v>2</v>
      </c>
      <c r="D261" s="87">
        <v>0.0014503087147952857</v>
      </c>
      <c r="E261" s="87">
        <v>3.0570952896126675</v>
      </c>
      <c r="F261" s="76" t="s">
        <v>389</v>
      </c>
      <c r="G261" s="76" t="b">
        <v>0</v>
      </c>
      <c r="H261" s="76" t="b">
        <v>0</v>
      </c>
      <c r="I261" s="76" t="b">
        <v>0</v>
      </c>
      <c r="J261" s="76" t="b">
        <v>0</v>
      </c>
      <c r="K261" s="76" t="b">
        <v>0</v>
      </c>
      <c r="L261" s="76" t="b">
        <v>0</v>
      </c>
    </row>
    <row r="262" spans="1:12" ht="15">
      <c r="A262" s="73" t="s">
        <v>1701</v>
      </c>
      <c r="B262" s="76" t="s">
        <v>1702</v>
      </c>
      <c r="C262" s="76">
        <v>2</v>
      </c>
      <c r="D262" s="87">
        <v>0.0014503087147952857</v>
      </c>
      <c r="E262" s="87">
        <v>3.0570952896126675</v>
      </c>
      <c r="F262" s="76" t="s">
        <v>389</v>
      </c>
      <c r="G262" s="76" t="b">
        <v>0</v>
      </c>
      <c r="H262" s="76" t="b">
        <v>0</v>
      </c>
      <c r="I262" s="76" t="b">
        <v>0</v>
      </c>
      <c r="J262" s="76" t="b">
        <v>0</v>
      </c>
      <c r="K262" s="76" t="b">
        <v>0</v>
      </c>
      <c r="L262" s="76" t="b">
        <v>0</v>
      </c>
    </row>
    <row r="263" spans="1:12" ht="15">
      <c r="A263" s="73" t="s">
        <v>1702</v>
      </c>
      <c r="B263" s="76" t="s">
        <v>363</v>
      </c>
      <c r="C263" s="76">
        <v>2</v>
      </c>
      <c r="D263" s="87">
        <v>0.0014503087147952857</v>
      </c>
      <c r="E263" s="87">
        <v>1.2647036001144134</v>
      </c>
      <c r="F263" s="76" t="s">
        <v>389</v>
      </c>
      <c r="G263" s="76" t="b">
        <v>0</v>
      </c>
      <c r="H263" s="76" t="b">
        <v>0</v>
      </c>
      <c r="I263" s="76" t="b">
        <v>0</v>
      </c>
      <c r="J263" s="76" t="b">
        <v>0</v>
      </c>
      <c r="K263" s="76" t="b">
        <v>0</v>
      </c>
      <c r="L263" s="76" t="b">
        <v>0</v>
      </c>
    </row>
    <row r="264" spans="1:12" ht="15">
      <c r="A264" s="73" t="s">
        <v>363</v>
      </c>
      <c r="B264" s="76" t="s">
        <v>1703</v>
      </c>
      <c r="C264" s="76">
        <v>2</v>
      </c>
      <c r="D264" s="87">
        <v>0.0014503087147952857</v>
      </c>
      <c r="E264" s="87">
        <v>1.2789440392290237</v>
      </c>
      <c r="F264" s="76" t="s">
        <v>389</v>
      </c>
      <c r="G264" s="76" t="b">
        <v>0</v>
      </c>
      <c r="H264" s="76" t="b">
        <v>0</v>
      </c>
      <c r="I264" s="76" t="b">
        <v>0</v>
      </c>
      <c r="J264" s="76" t="b">
        <v>0</v>
      </c>
      <c r="K264" s="76" t="b">
        <v>0</v>
      </c>
      <c r="L264" s="76" t="b">
        <v>0</v>
      </c>
    </row>
    <row r="265" spans="1:12" ht="15">
      <c r="A265" s="73" t="s">
        <v>1703</v>
      </c>
      <c r="B265" s="76" t="s">
        <v>1704</v>
      </c>
      <c r="C265" s="76">
        <v>2</v>
      </c>
      <c r="D265" s="87">
        <v>0.0014503087147952857</v>
      </c>
      <c r="E265" s="87">
        <v>3.0570952896126675</v>
      </c>
      <c r="F265" s="76" t="s">
        <v>389</v>
      </c>
      <c r="G265" s="76" t="b">
        <v>0</v>
      </c>
      <c r="H265" s="76" t="b">
        <v>0</v>
      </c>
      <c r="I265" s="76" t="b">
        <v>0</v>
      </c>
      <c r="J265" s="76" t="b">
        <v>1</v>
      </c>
      <c r="K265" s="76" t="b">
        <v>0</v>
      </c>
      <c r="L265" s="76" t="b">
        <v>0</v>
      </c>
    </row>
    <row r="266" spans="1:12" ht="15">
      <c r="A266" s="73" t="s">
        <v>1704</v>
      </c>
      <c r="B266" s="76" t="s">
        <v>1705</v>
      </c>
      <c r="C266" s="76">
        <v>2</v>
      </c>
      <c r="D266" s="87">
        <v>0.0014503087147952857</v>
      </c>
      <c r="E266" s="87">
        <v>3.0570952896126675</v>
      </c>
      <c r="F266" s="76" t="s">
        <v>389</v>
      </c>
      <c r="G266" s="76" t="b">
        <v>1</v>
      </c>
      <c r="H266" s="76" t="b">
        <v>0</v>
      </c>
      <c r="I266" s="76" t="b">
        <v>0</v>
      </c>
      <c r="J266" s="76" t="b">
        <v>0</v>
      </c>
      <c r="K266" s="76" t="b">
        <v>0</v>
      </c>
      <c r="L266" s="76" t="b">
        <v>0</v>
      </c>
    </row>
    <row r="267" spans="1:12" ht="15">
      <c r="A267" s="73" t="s">
        <v>1705</v>
      </c>
      <c r="B267" s="76" t="s">
        <v>1706</v>
      </c>
      <c r="C267" s="76">
        <v>2</v>
      </c>
      <c r="D267" s="87">
        <v>0.0014503087147952857</v>
      </c>
      <c r="E267" s="87">
        <v>3.0570952896126675</v>
      </c>
      <c r="F267" s="76" t="s">
        <v>389</v>
      </c>
      <c r="G267" s="76" t="b">
        <v>0</v>
      </c>
      <c r="H267" s="76" t="b">
        <v>0</v>
      </c>
      <c r="I267" s="76" t="b">
        <v>0</v>
      </c>
      <c r="J267" s="76" t="b">
        <v>0</v>
      </c>
      <c r="K267" s="76" t="b">
        <v>0</v>
      </c>
      <c r="L267" s="76" t="b">
        <v>0</v>
      </c>
    </row>
    <row r="268" spans="1:12" ht="15">
      <c r="A268" s="73" t="s">
        <v>1706</v>
      </c>
      <c r="B268" s="76" t="s">
        <v>1707</v>
      </c>
      <c r="C268" s="76">
        <v>2</v>
      </c>
      <c r="D268" s="87">
        <v>0.0014503087147952857</v>
      </c>
      <c r="E268" s="87">
        <v>3.0570952896126675</v>
      </c>
      <c r="F268" s="76" t="s">
        <v>389</v>
      </c>
      <c r="G268" s="76" t="b">
        <v>0</v>
      </c>
      <c r="H268" s="76" t="b">
        <v>0</v>
      </c>
      <c r="I268" s="76" t="b">
        <v>0</v>
      </c>
      <c r="J268" s="76" t="b">
        <v>0</v>
      </c>
      <c r="K268" s="76" t="b">
        <v>0</v>
      </c>
      <c r="L268" s="76" t="b">
        <v>0</v>
      </c>
    </row>
    <row r="269" spans="1:12" ht="15">
      <c r="A269" s="73" t="s">
        <v>1707</v>
      </c>
      <c r="B269" s="76" t="s">
        <v>1600</v>
      </c>
      <c r="C269" s="76">
        <v>2</v>
      </c>
      <c r="D269" s="87">
        <v>0.0014503087147952857</v>
      </c>
      <c r="E269" s="87">
        <v>2.7560652939486863</v>
      </c>
      <c r="F269" s="76" t="s">
        <v>389</v>
      </c>
      <c r="G269" s="76" t="b">
        <v>0</v>
      </c>
      <c r="H269" s="76" t="b">
        <v>0</v>
      </c>
      <c r="I269" s="76" t="b">
        <v>0</v>
      </c>
      <c r="J269" s="76" t="b">
        <v>0</v>
      </c>
      <c r="K269" s="76" t="b">
        <v>0</v>
      </c>
      <c r="L269" s="76" t="b">
        <v>0</v>
      </c>
    </row>
    <row r="270" spans="1:12" ht="15">
      <c r="A270" s="73" t="s">
        <v>1601</v>
      </c>
      <c r="B270" s="76" t="s">
        <v>1598</v>
      </c>
      <c r="C270" s="76">
        <v>2</v>
      </c>
      <c r="D270" s="87">
        <v>0.0014503087147952857</v>
      </c>
      <c r="E270" s="87">
        <v>2.455035298284705</v>
      </c>
      <c r="F270" s="76" t="s">
        <v>389</v>
      </c>
      <c r="G270" s="76" t="b">
        <v>0</v>
      </c>
      <c r="H270" s="76" t="b">
        <v>0</v>
      </c>
      <c r="I270" s="76" t="b">
        <v>0</v>
      </c>
      <c r="J270" s="76" t="b">
        <v>0</v>
      </c>
      <c r="K270" s="76" t="b">
        <v>0</v>
      </c>
      <c r="L270" s="76" t="b">
        <v>0</v>
      </c>
    </row>
    <row r="271" spans="1:12" ht="15">
      <c r="A271" s="73" t="s">
        <v>1598</v>
      </c>
      <c r="B271" s="76" t="s">
        <v>1503</v>
      </c>
      <c r="C271" s="76">
        <v>2</v>
      </c>
      <c r="D271" s="87">
        <v>0.0014503087147952857</v>
      </c>
      <c r="E271" s="87">
        <v>1.8810040305569862</v>
      </c>
      <c r="F271" s="76" t="s">
        <v>389</v>
      </c>
      <c r="G271" s="76" t="b">
        <v>0</v>
      </c>
      <c r="H271" s="76" t="b">
        <v>0</v>
      </c>
      <c r="I271" s="76" t="b">
        <v>0</v>
      </c>
      <c r="J271" s="76" t="b">
        <v>0</v>
      </c>
      <c r="K271" s="76" t="b">
        <v>0</v>
      </c>
      <c r="L271" s="76" t="b">
        <v>0</v>
      </c>
    </row>
    <row r="272" spans="1:12" ht="15">
      <c r="A272" s="73" t="s">
        <v>1552</v>
      </c>
      <c r="B272" s="76" t="s">
        <v>1551</v>
      </c>
      <c r="C272" s="76">
        <v>2</v>
      </c>
      <c r="D272" s="87">
        <v>0.0014503087147952857</v>
      </c>
      <c r="E272" s="87">
        <v>1.66352008634308</v>
      </c>
      <c r="F272" s="76" t="s">
        <v>389</v>
      </c>
      <c r="G272" s="76" t="b">
        <v>0</v>
      </c>
      <c r="H272" s="76" t="b">
        <v>0</v>
      </c>
      <c r="I272" s="76" t="b">
        <v>0</v>
      </c>
      <c r="J272" s="76" t="b">
        <v>0</v>
      </c>
      <c r="K272" s="76" t="b">
        <v>0</v>
      </c>
      <c r="L272" s="76" t="b">
        <v>0</v>
      </c>
    </row>
    <row r="273" spans="1:12" ht="15">
      <c r="A273" s="73" t="s">
        <v>1551</v>
      </c>
      <c r="B273" s="76" t="s">
        <v>1629</v>
      </c>
      <c r="C273" s="76">
        <v>2</v>
      </c>
      <c r="D273" s="87">
        <v>0.0014503087147952857</v>
      </c>
      <c r="E273" s="87">
        <v>2.1406413410627425</v>
      </c>
      <c r="F273" s="76" t="s">
        <v>389</v>
      </c>
      <c r="G273" s="76" t="b">
        <v>0</v>
      </c>
      <c r="H273" s="76" t="b">
        <v>0</v>
      </c>
      <c r="I273" s="76" t="b">
        <v>0</v>
      </c>
      <c r="J273" s="76" t="b">
        <v>0</v>
      </c>
      <c r="K273" s="76" t="b">
        <v>0</v>
      </c>
      <c r="L273" s="76" t="b">
        <v>0</v>
      </c>
    </row>
    <row r="274" spans="1:12" ht="15">
      <c r="A274" s="73" t="s">
        <v>360</v>
      </c>
      <c r="B274" s="76" t="s">
        <v>362</v>
      </c>
      <c r="C274" s="76">
        <v>27</v>
      </c>
      <c r="D274" s="87">
        <v>0</v>
      </c>
      <c r="E274" s="87">
        <v>1.4081142832152111</v>
      </c>
      <c r="F274" s="76" t="s">
        <v>340</v>
      </c>
      <c r="G274" s="76" t="b">
        <v>0</v>
      </c>
      <c r="H274" s="76" t="b">
        <v>0</v>
      </c>
      <c r="I274" s="76" t="b">
        <v>0</v>
      </c>
      <c r="J274" s="76" t="b">
        <v>0</v>
      </c>
      <c r="K274" s="76" t="b">
        <v>0</v>
      </c>
      <c r="L274" s="76" t="b">
        <v>0</v>
      </c>
    </row>
    <row r="275" spans="1:12" ht="15">
      <c r="A275" s="73" t="s">
        <v>362</v>
      </c>
      <c r="B275" s="76" t="s">
        <v>363</v>
      </c>
      <c r="C275" s="76">
        <v>26</v>
      </c>
      <c r="D275" s="87">
        <v>0.0005935248201844067</v>
      </c>
      <c r="E275" s="87">
        <v>1.2103037744662937</v>
      </c>
      <c r="F275" s="76" t="s">
        <v>340</v>
      </c>
      <c r="G275" s="76" t="b">
        <v>0</v>
      </c>
      <c r="H275" s="76" t="b">
        <v>0</v>
      </c>
      <c r="I275" s="76" t="b">
        <v>0</v>
      </c>
      <c r="J275" s="76" t="b">
        <v>0</v>
      </c>
      <c r="K275" s="76" t="b">
        <v>0</v>
      </c>
      <c r="L275" s="76" t="b">
        <v>0</v>
      </c>
    </row>
    <row r="276" spans="1:12" ht="15">
      <c r="A276" s="73" t="s">
        <v>1502</v>
      </c>
      <c r="B276" s="76" t="s">
        <v>1492</v>
      </c>
      <c r="C276" s="76">
        <v>14</v>
      </c>
      <c r="D276" s="87">
        <v>0.0055616994411288164</v>
      </c>
      <c r="E276" s="87">
        <v>1.237418056046236</v>
      </c>
      <c r="F276" s="76" t="s">
        <v>340</v>
      </c>
      <c r="G276" s="76" t="b">
        <v>1</v>
      </c>
      <c r="H276" s="76" t="b">
        <v>0</v>
      </c>
      <c r="I276" s="76" t="b">
        <v>0</v>
      </c>
      <c r="J276" s="76" t="b">
        <v>0</v>
      </c>
      <c r="K276" s="76" t="b">
        <v>0</v>
      </c>
      <c r="L276" s="76" t="b">
        <v>0</v>
      </c>
    </row>
    <row r="277" spans="1:12" ht="15">
      <c r="A277" s="73" t="s">
        <v>1492</v>
      </c>
      <c r="B277" s="76" t="s">
        <v>1513</v>
      </c>
      <c r="C277" s="76">
        <v>14</v>
      </c>
      <c r="D277" s="87">
        <v>0.0055616994411288164</v>
      </c>
      <c r="E277" s="87">
        <v>1.237418056046236</v>
      </c>
      <c r="F277" s="76" t="s">
        <v>340</v>
      </c>
      <c r="G277" s="76" t="b">
        <v>0</v>
      </c>
      <c r="H277" s="76" t="b">
        <v>0</v>
      </c>
      <c r="I277" s="76" t="b">
        <v>0</v>
      </c>
      <c r="J277" s="76" t="b">
        <v>0</v>
      </c>
      <c r="K277" s="76" t="b">
        <v>0</v>
      </c>
      <c r="L277" s="76" t="b">
        <v>0</v>
      </c>
    </row>
    <row r="278" spans="1:12" ht="15">
      <c r="A278" s="73" t="s">
        <v>1513</v>
      </c>
      <c r="B278" s="76" t="s">
        <v>720</v>
      </c>
      <c r="C278" s="76">
        <v>14</v>
      </c>
      <c r="D278" s="87">
        <v>0.0055616994411288164</v>
      </c>
      <c r="E278" s="87">
        <v>1.4245046994033805</v>
      </c>
      <c r="F278" s="76" t="s">
        <v>340</v>
      </c>
      <c r="G278" s="76" t="b">
        <v>0</v>
      </c>
      <c r="H278" s="76" t="b">
        <v>0</v>
      </c>
      <c r="I278" s="76" t="b">
        <v>0</v>
      </c>
      <c r="J278" s="76" t="b">
        <v>0</v>
      </c>
      <c r="K278" s="76" t="b">
        <v>0</v>
      </c>
      <c r="L278" s="76" t="b">
        <v>0</v>
      </c>
    </row>
    <row r="279" spans="1:12" ht="15">
      <c r="A279" s="73" t="s">
        <v>720</v>
      </c>
      <c r="B279" s="76" t="s">
        <v>1508</v>
      </c>
      <c r="C279" s="76">
        <v>14</v>
      </c>
      <c r="D279" s="87">
        <v>0.0055616994411288164</v>
      </c>
      <c r="E279" s="87">
        <v>1.6933500116959603</v>
      </c>
      <c r="F279" s="76" t="s">
        <v>340</v>
      </c>
      <c r="G279" s="76" t="b">
        <v>0</v>
      </c>
      <c r="H279" s="76" t="b">
        <v>0</v>
      </c>
      <c r="I279" s="76" t="b">
        <v>0</v>
      </c>
      <c r="J279" s="76" t="b">
        <v>0</v>
      </c>
      <c r="K279" s="76" t="b">
        <v>0</v>
      </c>
      <c r="L279" s="76" t="b">
        <v>0</v>
      </c>
    </row>
    <row r="280" spans="1:12" ht="15">
      <c r="A280" s="73" t="s">
        <v>1508</v>
      </c>
      <c r="B280" s="76" t="s">
        <v>360</v>
      </c>
      <c r="C280" s="76">
        <v>14</v>
      </c>
      <c r="D280" s="87">
        <v>0.0055616994411288164</v>
      </c>
      <c r="E280" s="87">
        <v>1.4245046994033805</v>
      </c>
      <c r="F280" s="76" t="s">
        <v>340</v>
      </c>
      <c r="G280" s="76" t="b">
        <v>0</v>
      </c>
      <c r="H280" s="76" t="b">
        <v>0</v>
      </c>
      <c r="I280" s="76" t="b">
        <v>0</v>
      </c>
      <c r="J280" s="76" t="b">
        <v>0</v>
      </c>
      <c r="K280" s="76" t="b">
        <v>0</v>
      </c>
      <c r="L280" s="76" t="b">
        <v>0</v>
      </c>
    </row>
    <row r="281" spans="1:12" ht="15">
      <c r="A281" s="73" t="s">
        <v>363</v>
      </c>
      <c r="B281" s="76" t="s">
        <v>1514</v>
      </c>
      <c r="C281" s="76">
        <v>14</v>
      </c>
      <c r="D281" s="87">
        <v>0.0055616994411288164</v>
      </c>
      <c r="E281" s="87">
        <v>1.2266941906544628</v>
      </c>
      <c r="F281" s="76" t="s">
        <v>340</v>
      </c>
      <c r="G281" s="76" t="b">
        <v>0</v>
      </c>
      <c r="H281" s="76" t="b">
        <v>0</v>
      </c>
      <c r="I281" s="76" t="b">
        <v>0</v>
      </c>
      <c r="J281" s="76" t="b">
        <v>0</v>
      </c>
      <c r="K281" s="76" t="b">
        <v>0</v>
      </c>
      <c r="L281" s="76" t="b">
        <v>0</v>
      </c>
    </row>
    <row r="282" spans="1:12" ht="15">
      <c r="A282" s="73" t="s">
        <v>1514</v>
      </c>
      <c r="B282" s="76" t="s">
        <v>1515</v>
      </c>
      <c r="C282" s="76">
        <v>14</v>
      </c>
      <c r="D282" s="87">
        <v>0.0055616994411288164</v>
      </c>
      <c r="E282" s="87">
        <v>1.6933500116959603</v>
      </c>
      <c r="F282" s="76" t="s">
        <v>340</v>
      </c>
      <c r="G282" s="76" t="b">
        <v>0</v>
      </c>
      <c r="H282" s="76" t="b">
        <v>0</v>
      </c>
      <c r="I282" s="76" t="b">
        <v>0</v>
      </c>
      <c r="J282" s="76" t="b">
        <v>0</v>
      </c>
      <c r="K282" s="76" t="b">
        <v>0</v>
      </c>
      <c r="L282" s="76" t="b">
        <v>0</v>
      </c>
    </row>
    <row r="283" spans="1:12" ht="15">
      <c r="A283" s="73" t="s">
        <v>1515</v>
      </c>
      <c r="B283" s="76" t="s">
        <v>363</v>
      </c>
      <c r="C283" s="76">
        <v>14</v>
      </c>
      <c r="D283" s="87">
        <v>0.0055616994411288164</v>
      </c>
      <c r="E283" s="87">
        <v>1.2266941906544628</v>
      </c>
      <c r="F283" s="76" t="s">
        <v>340</v>
      </c>
      <c r="G283" s="76" t="b">
        <v>0</v>
      </c>
      <c r="H283" s="76" t="b">
        <v>0</v>
      </c>
      <c r="I283" s="76" t="b">
        <v>0</v>
      </c>
      <c r="J283" s="76" t="b">
        <v>0</v>
      </c>
      <c r="K283" s="76" t="b">
        <v>0</v>
      </c>
      <c r="L283" s="76" t="b">
        <v>0</v>
      </c>
    </row>
    <row r="284" spans="1:12" ht="15">
      <c r="A284" s="73" t="s">
        <v>363</v>
      </c>
      <c r="B284" s="76" t="s">
        <v>1516</v>
      </c>
      <c r="C284" s="76">
        <v>14</v>
      </c>
      <c r="D284" s="87">
        <v>0.0055616994411288164</v>
      </c>
      <c r="E284" s="87">
        <v>1.2266941906544628</v>
      </c>
      <c r="F284" s="76" t="s">
        <v>340</v>
      </c>
      <c r="G284" s="76" t="b">
        <v>0</v>
      </c>
      <c r="H284" s="76" t="b">
        <v>0</v>
      </c>
      <c r="I284" s="76" t="b">
        <v>0</v>
      </c>
      <c r="J284" s="76" t="b">
        <v>0</v>
      </c>
      <c r="K284" s="76" t="b">
        <v>0</v>
      </c>
      <c r="L284" s="76" t="b">
        <v>0</v>
      </c>
    </row>
    <row r="285" spans="1:12" ht="15">
      <c r="A285" s="73" t="s">
        <v>1516</v>
      </c>
      <c r="B285" s="76" t="s">
        <v>1501</v>
      </c>
      <c r="C285" s="76">
        <v>14</v>
      </c>
      <c r="D285" s="87">
        <v>0.0055616994411288164</v>
      </c>
      <c r="E285" s="87">
        <v>1.6933500116959603</v>
      </c>
      <c r="F285" s="76" t="s">
        <v>340</v>
      </c>
      <c r="G285" s="76" t="b">
        <v>0</v>
      </c>
      <c r="H285" s="76" t="b">
        <v>0</v>
      </c>
      <c r="I285" s="76" t="b">
        <v>0</v>
      </c>
      <c r="J285" s="76" t="b">
        <v>0</v>
      </c>
      <c r="K285" s="76" t="b">
        <v>0</v>
      </c>
      <c r="L285" s="76" t="b">
        <v>0</v>
      </c>
    </row>
    <row r="286" spans="1:12" ht="15">
      <c r="A286" s="73" t="s">
        <v>1501</v>
      </c>
      <c r="B286" s="76" t="s">
        <v>1517</v>
      </c>
      <c r="C286" s="76">
        <v>14</v>
      </c>
      <c r="D286" s="87">
        <v>0.0055616994411288164</v>
      </c>
      <c r="E286" s="87">
        <v>1.6933500116959603</v>
      </c>
      <c r="F286" s="76" t="s">
        <v>340</v>
      </c>
      <c r="G286" s="76" t="b">
        <v>0</v>
      </c>
      <c r="H286" s="76" t="b">
        <v>0</v>
      </c>
      <c r="I286" s="76" t="b">
        <v>0</v>
      </c>
      <c r="J286" s="76" t="b">
        <v>0</v>
      </c>
      <c r="K286" s="76" t="b">
        <v>0</v>
      </c>
      <c r="L286" s="76" t="b">
        <v>0</v>
      </c>
    </row>
    <row r="287" spans="1:12" ht="15">
      <c r="A287" s="73" t="s">
        <v>1517</v>
      </c>
      <c r="B287" s="76" t="s">
        <v>373</v>
      </c>
      <c r="C287" s="76">
        <v>14</v>
      </c>
      <c r="D287" s="87">
        <v>0.0055616994411288164</v>
      </c>
      <c r="E287" s="87">
        <v>1.6633867883185172</v>
      </c>
      <c r="F287" s="76" t="s">
        <v>340</v>
      </c>
      <c r="G287" s="76" t="b">
        <v>0</v>
      </c>
      <c r="H287" s="76" t="b">
        <v>0</v>
      </c>
      <c r="I287" s="76" t="b">
        <v>0</v>
      </c>
      <c r="J287" s="76" t="b">
        <v>0</v>
      </c>
      <c r="K287" s="76" t="b">
        <v>0</v>
      </c>
      <c r="L287" s="76" t="b">
        <v>0</v>
      </c>
    </row>
    <row r="288" spans="1:12" ht="15">
      <c r="A288" s="73" t="s">
        <v>373</v>
      </c>
      <c r="B288" s="76" t="s">
        <v>1518</v>
      </c>
      <c r="C288" s="76">
        <v>14</v>
      </c>
      <c r="D288" s="87">
        <v>0.0055616994411288164</v>
      </c>
      <c r="E288" s="87">
        <v>1.6633867883185172</v>
      </c>
      <c r="F288" s="76" t="s">
        <v>340</v>
      </c>
      <c r="G288" s="76" t="b">
        <v>0</v>
      </c>
      <c r="H288" s="76" t="b">
        <v>0</v>
      </c>
      <c r="I288" s="76" t="b">
        <v>0</v>
      </c>
      <c r="J288" s="76" t="b">
        <v>1</v>
      </c>
      <c r="K288" s="76" t="b">
        <v>0</v>
      </c>
      <c r="L288" s="76" t="b">
        <v>0</v>
      </c>
    </row>
    <row r="289" spans="1:12" ht="15">
      <c r="A289" s="73" t="s">
        <v>1518</v>
      </c>
      <c r="B289" s="76" t="s">
        <v>1519</v>
      </c>
      <c r="C289" s="76">
        <v>14</v>
      </c>
      <c r="D289" s="87">
        <v>0.0055616994411288164</v>
      </c>
      <c r="E289" s="87">
        <v>1.6933500116959603</v>
      </c>
      <c r="F289" s="76" t="s">
        <v>340</v>
      </c>
      <c r="G289" s="76" t="b">
        <v>1</v>
      </c>
      <c r="H289" s="76" t="b">
        <v>0</v>
      </c>
      <c r="I289" s="76" t="b">
        <v>0</v>
      </c>
      <c r="J289" s="76" t="b">
        <v>0</v>
      </c>
      <c r="K289" s="76" t="b">
        <v>0</v>
      </c>
      <c r="L289" s="76" t="b">
        <v>0</v>
      </c>
    </row>
    <row r="290" spans="1:12" ht="15">
      <c r="A290" s="73" t="s">
        <v>1519</v>
      </c>
      <c r="B290" s="76" t="s">
        <v>1493</v>
      </c>
      <c r="C290" s="76">
        <v>14</v>
      </c>
      <c r="D290" s="87">
        <v>0.0055616994411288164</v>
      </c>
      <c r="E290" s="87">
        <v>1.4245046994033805</v>
      </c>
      <c r="F290" s="76" t="s">
        <v>340</v>
      </c>
      <c r="G290" s="76" t="b">
        <v>0</v>
      </c>
      <c r="H290" s="76" t="b">
        <v>0</v>
      </c>
      <c r="I290" s="76" t="b">
        <v>0</v>
      </c>
      <c r="J290" s="76" t="b">
        <v>0</v>
      </c>
      <c r="K290" s="76" t="b">
        <v>0</v>
      </c>
      <c r="L290" s="76" t="b">
        <v>0</v>
      </c>
    </row>
    <row r="291" spans="1:12" ht="15">
      <c r="A291" s="73" t="s">
        <v>1493</v>
      </c>
      <c r="B291" s="76" t="s">
        <v>1492</v>
      </c>
      <c r="C291" s="76">
        <v>14</v>
      </c>
      <c r="D291" s="87">
        <v>0.0055616994411288164</v>
      </c>
      <c r="E291" s="87">
        <v>0.9685727437536561</v>
      </c>
      <c r="F291" s="76" t="s">
        <v>340</v>
      </c>
      <c r="G291" s="76" t="b">
        <v>0</v>
      </c>
      <c r="H291" s="76" t="b">
        <v>0</v>
      </c>
      <c r="I291" s="76" t="b">
        <v>0</v>
      </c>
      <c r="J291" s="76" t="b">
        <v>0</v>
      </c>
      <c r="K291" s="76" t="b">
        <v>0</v>
      </c>
      <c r="L291" s="76" t="b">
        <v>0</v>
      </c>
    </row>
    <row r="292" spans="1:12" ht="15">
      <c r="A292" s="73" t="s">
        <v>1492</v>
      </c>
      <c r="B292" s="76" t="s">
        <v>1520</v>
      </c>
      <c r="C292" s="76">
        <v>14</v>
      </c>
      <c r="D292" s="87">
        <v>0.0055616994411288164</v>
      </c>
      <c r="E292" s="87">
        <v>1.237418056046236</v>
      </c>
      <c r="F292" s="76" t="s">
        <v>340</v>
      </c>
      <c r="G292" s="76" t="b">
        <v>0</v>
      </c>
      <c r="H292" s="76" t="b">
        <v>0</v>
      </c>
      <c r="I292" s="76" t="b">
        <v>0</v>
      </c>
      <c r="J292" s="76" t="b">
        <v>0</v>
      </c>
      <c r="K292" s="76" t="b">
        <v>0</v>
      </c>
      <c r="L292" s="76" t="b">
        <v>0</v>
      </c>
    </row>
    <row r="293" spans="1:12" ht="15">
      <c r="A293" s="73" t="s">
        <v>1520</v>
      </c>
      <c r="B293" s="76" t="s">
        <v>1509</v>
      </c>
      <c r="C293" s="76">
        <v>14</v>
      </c>
      <c r="D293" s="87">
        <v>0.0055616994411288164</v>
      </c>
      <c r="E293" s="87">
        <v>1.6933500116959603</v>
      </c>
      <c r="F293" s="76" t="s">
        <v>340</v>
      </c>
      <c r="G293" s="76" t="b">
        <v>0</v>
      </c>
      <c r="H293" s="76" t="b">
        <v>0</v>
      </c>
      <c r="I293" s="76" t="b">
        <v>0</v>
      </c>
      <c r="J293" s="76" t="b">
        <v>0</v>
      </c>
      <c r="K293" s="76" t="b">
        <v>0</v>
      </c>
      <c r="L293" s="76" t="b">
        <v>0</v>
      </c>
    </row>
    <row r="294" spans="1:12" ht="15">
      <c r="A294" s="73" t="s">
        <v>1509</v>
      </c>
      <c r="B294" s="76" t="s">
        <v>1521</v>
      </c>
      <c r="C294" s="76">
        <v>14</v>
      </c>
      <c r="D294" s="87">
        <v>0.0055616994411288164</v>
      </c>
      <c r="E294" s="87">
        <v>1.6933500116959603</v>
      </c>
      <c r="F294" s="76" t="s">
        <v>340</v>
      </c>
      <c r="G294" s="76" t="b">
        <v>0</v>
      </c>
      <c r="H294" s="76" t="b">
        <v>0</v>
      </c>
      <c r="I294" s="76" t="b">
        <v>0</v>
      </c>
      <c r="J294" s="76" t="b">
        <v>0</v>
      </c>
      <c r="K294" s="76" t="b">
        <v>0</v>
      </c>
      <c r="L294" s="76" t="b">
        <v>0</v>
      </c>
    </row>
    <row r="295" spans="1:12" ht="15">
      <c r="A295" s="73" t="s">
        <v>1521</v>
      </c>
      <c r="B295" s="76" t="s">
        <v>1522</v>
      </c>
      <c r="C295" s="76">
        <v>14</v>
      </c>
      <c r="D295" s="87">
        <v>0.0055616994411288164</v>
      </c>
      <c r="E295" s="87">
        <v>1.6933500116959603</v>
      </c>
      <c r="F295" s="76" t="s">
        <v>340</v>
      </c>
      <c r="G295" s="76" t="b">
        <v>0</v>
      </c>
      <c r="H295" s="76" t="b">
        <v>0</v>
      </c>
      <c r="I295" s="76" t="b">
        <v>0</v>
      </c>
      <c r="J295" s="76" t="b">
        <v>0</v>
      </c>
      <c r="K295" s="76" t="b">
        <v>0</v>
      </c>
      <c r="L295" s="76" t="b">
        <v>0</v>
      </c>
    </row>
    <row r="296" spans="1:12" ht="15">
      <c r="A296" s="73" t="s">
        <v>1522</v>
      </c>
      <c r="B296" s="76" t="s">
        <v>1523</v>
      </c>
      <c r="C296" s="76">
        <v>14</v>
      </c>
      <c r="D296" s="87">
        <v>0.0055616994411288164</v>
      </c>
      <c r="E296" s="87">
        <v>1.6933500116959603</v>
      </c>
      <c r="F296" s="76" t="s">
        <v>340</v>
      </c>
      <c r="G296" s="76" t="b">
        <v>0</v>
      </c>
      <c r="H296" s="76" t="b">
        <v>0</v>
      </c>
      <c r="I296" s="76" t="b">
        <v>0</v>
      </c>
      <c r="J296" s="76" t="b">
        <v>0</v>
      </c>
      <c r="K296" s="76" t="b">
        <v>0</v>
      </c>
      <c r="L296" s="76" t="b">
        <v>0</v>
      </c>
    </row>
    <row r="297" spans="1:12" ht="15">
      <c r="A297" s="73" t="s">
        <v>1523</v>
      </c>
      <c r="B297" s="76" t="s">
        <v>1505</v>
      </c>
      <c r="C297" s="76">
        <v>14</v>
      </c>
      <c r="D297" s="87">
        <v>0.0055616994411288164</v>
      </c>
      <c r="E297" s="87">
        <v>1.6933500116959603</v>
      </c>
      <c r="F297" s="76" t="s">
        <v>340</v>
      </c>
      <c r="G297" s="76" t="b">
        <v>0</v>
      </c>
      <c r="H297" s="76" t="b">
        <v>0</v>
      </c>
      <c r="I297" s="76" t="b">
        <v>0</v>
      </c>
      <c r="J297" s="76" t="b">
        <v>0</v>
      </c>
      <c r="K297" s="76" t="b">
        <v>0</v>
      </c>
      <c r="L297" s="76" t="b">
        <v>0</v>
      </c>
    </row>
    <row r="298" spans="1:12" ht="15">
      <c r="A298" s="73" t="s">
        <v>1505</v>
      </c>
      <c r="B298" s="76" t="s">
        <v>1524</v>
      </c>
      <c r="C298" s="76">
        <v>14</v>
      </c>
      <c r="D298" s="87">
        <v>0.0055616994411288164</v>
      </c>
      <c r="E298" s="87">
        <v>1.6933500116959603</v>
      </c>
      <c r="F298" s="76" t="s">
        <v>340</v>
      </c>
      <c r="G298" s="76" t="b">
        <v>0</v>
      </c>
      <c r="H298" s="76" t="b">
        <v>0</v>
      </c>
      <c r="I298" s="76" t="b">
        <v>0</v>
      </c>
      <c r="J298" s="76" t="b">
        <v>0</v>
      </c>
      <c r="K298" s="76" t="b">
        <v>0</v>
      </c>
      <c r="L298" s="76" t="b">
        <v>0</v>
      </c>
    </row>
    <row r="299" spans="1:12" ht="15">
      <c r="A299" s="73" t="s">
        <v>1504</v>
      </c>
      <c r="B299" s="76" t="s">
        <v>360</v>
      </c>
      <c r="C299" s="76">
        <v>12</v>
      </c>
      <c r="D299" s="87">
        <v>0.005886058798518593</v>
      </c>
      <c r="E299" s="87">
        <v>1.4245046994033805</v>
      </c>
      <c r="F299" s="76" t="s">
        <v>340</v>
      </c>
      <c r="G299" s="76" t="b">
        <v>0</v>
      </c>
      <c r="H299" s="76" t="b">
        <v>0</v>
      </c>
      <c r="I299" s="76" t="b">
        <v>0</v>
      </c>
      <c r="J299" s="76" t="b">
        <v>0</v>
      </c>
      <c r="K299" s="76" t="b">
        <v>0</v>
      </c>
      <c r="L299" s="76" t="b">
        <v>0</v>
      </c>
    </row>
    <row r="300" spans="1:12" ht="15">
      <c r="A300" s="73" t="s">
        <v>363</v>
      </c>
      <c r="B300" s="76" t="s">
        <v>1491</v>
      </c>
      <c r="C300" s="76">
        <v>12</v>
      </c>
      <c r="D300" s="87">
        <v>0.005886058798518593</v>
      </c>
      <c r="E300" s="87">
        <v>0.9256641949904818</v>
      </c>
      <c r="F300" s="76" t="s">
        <v>340</v>
      </c>
      <c r="G300" s="76" t="b">
        <v>0</v>
      </c>
      <c r="H300" s="76" t="b">
        <v>0</v>
      </c>
      <c r="I300" s="76" t="b">
        <v>0</v>
      </c>
      <c r="J300" s="76" t="b">
        <v>0</v>
      </c>
      <c r="K300" s="76" t="b">
        <v>0</v>
      </c>
      <c r="L300" s="76" t="b">
        <v>0</v>
      </c>
    </row>
    <row r="301" spans="1:12" ht="15">
      <c r="A301" s="73" t="s">
        <v>1491</v>
      </c>
      <c r="B301" s="76" t="s">
        <v>1496</v>
      </c>
      <c r="C301" s="76">
        <v>12</v>
      </c>
      <c r="D301" s="87">
        <v>0.005886058798518593</v>
      </c>
      <c r="E301" s="87">
        <v>1.1582368099986111</v>
      </c>
      <c r="F301" s="76" t="s">
        <v>340</v>
      </c>
      <c r="G301" s="76" t="b">
        <v>0</v>
      </c>
      <c r="H301" s="76" t="b">
        <v>0</v>
      </c>
      <c r="I301" s="76" t="b">
        <v>0</v>
      </c>
      <c r="J301" s="76" t="b">
        <v>0</v>
      </c>
      <c r="K301" s="76" t="b">
        <v>0</v>
      </c>
      <c r="L301" s="76" t="b">
        <v>0</v>
      </c>
    </row>
    <row r="302" spans="1:12" ht="15">
      <c r="A302" s="73" t="s">
        <v>1496</v>
      </c>
      <c r="B302" s="76" t="s">
        <v>1538</v>
      </c>
      <c r="C302" s="76">
        <v>12</v>
      </c>
      <c r="D302" s="87">
        <v>0.005886058798518593</v>
      </c>
      <c r="E302" s="87">
        <v>1.4592668056625924</v>
      </c>
      <c r="F302" s="76" t="s">
        <v>340</v>
      </c>
      <c r="G302" s="76" t="b">
        <v>0</v>
      </c>
      <c r="H302" s="76" t="b">
        <v>0</v>
      </c>
      <c r="I302" s="76" t="b">
        <v>0</v>
      </c>
      <c r="J302" s="76" t="b">
        <v>0</v>
      </c>
      <c r="K302" s="76" t="b">
        <v>0</v>
      </c>
      <c r="L302" s="76" t="b">
        <v>0</v>
      </c>
    </row>
    <row r="303" spans="1:12" ht="15">
      <c r="A303" s="73" t="s">
        <v>1538</v>
      </c>
      <c r="B303" s="76" t="s">
        <v>1539</v>
      </c>
      <c r="C303" s="76">
        <v>12</v>
      </c>
      <c r="D303" s="87">
        <v>0.005886058798518593</v>
      </c>
      <c r="E303" s="87">
        <v>1.7602968013265736</v>
      </c>
      <c r="F303" s="76" t="s">
        <v>340</v>
      </c>
      <c r="G303" s="76" t="b">
        <v>0</v>
      </c>
      <c r="H303" s="76" t="b">
        <v>0</v>
      </c>
      <c r="I303" s="76" t="b">
        <v>0</v>
      </c>
      <c r="J303" s="76" t="b">
        <v>0</v>
      </c>
      <c r="K303" s="76" t="b">
        <v>0</v>
      </c>
      <c r="L303" s="76" t="b">
        <v>0</v>
      </c>
    </row>
    <row r="304" spans="1:12" ht="15">
      <c r="A304" s="73" t="s">
        <v>1539</v>
      </c>
      <c r="B304" s="76" t="s">
        <v>1540</v>
      </c>
      <c r="C304" s="76">
        <v>12</v>
      </c>
      <c r="D304" s="87">
        <v>0.005886058798518593</v>
      </c>
      <c r="E304" s="87">
        <v>1.7602968013265736</v>
      </c>
      <c r="F304" s="76" t="s">
        <v>340</v>
      </c>
      <c r="G304" s="76" t="b">
        <v>0</v>
      </c>
      <c r="H304" s="76" t="b">
        <v>0</v>
      </c>
      <c r="I304" s="76" t="b">
        <v>0</v>
      </c>
      <c r="J304" s="76" t="b">
        <v>0</v>
      </c>
      <c r="K304" s="76" t="b">
        <v>0</v>
      </c>
      <c r="L304" s="76" t="b">
        <v>0</v>
      </c>
    </row>
    <row r="305" spans="1:12" ht="15">
      <c r="A305" s="73" t="s">
        <v>1540</v>
      </c>
      <c r="B305" s="76" t="s">
        <v>1541</v>
      </c>
      <c r="C305" s="76">
        <v>12</v>
      </c>
      <c r="D305" s="87">
        <v>0.005886058798518593</v>
      </c>
      <c r="E305" s="87">
        <v>1.7602968013265736</v>
      </c>
      <c r="F305" s="76" t="s">
        <v>340</v>
      </c>
      <c r="G305" s="76" t="b">
        <v>0</v>
      </c>
      <c r="H305" s="76" t="b">
        <v>0</v>
      </c>
      <c r="I305" s="76" t="b">
        <v>0</v>
      </c>
      <c r="J305" s="76" t="b">
        <v>0</v>
      </c>
      <c r="K305" s="76" t="b">
        <v>0</v>
      </c>
      <c r="L305" s="76" t="b">
        <v>0</v>
      </c>
    </row>
    <row r="306" spans="1:12" ht="15">
      <c r="A306" s="73" t="s">
        <v>1541</v>
      </c>
      <c r="B306" s="76" t="s">
        <v>1542</v>
      </c>
      <c r="C306" s="76">
        <v>12</v>
      </c>
      <c r="D306" s="87">
        <v>0.005886058798518593</v>
      </c>
      <c r="E306" s="87">
        <v>1.7602968013265736</v>
      </c>
      <c r="F306" s="76" t="s">
        <v>340</v>
      </c>
      <c r="G306" s="76" t="b">
        <v>0</v>
      </c>
      <c r="H306" s="76" t="b">
        <v>0</v>
      </c>
      <c r="I306" s="76" t="b">
        <v>0</v>
      </c>
      <c r="J306" s="76" t="b">
        <v>0</v>
      </c>
      <c r="K306" s="76" t="b">
        <v>0</v>
      </c>
      <c r="L306" s="76" t="b">
        <v>0</v>
      </c>
    </row>
    <row r="307" spans="1:12" ht="15">
      <c r="A307" s="73" t="s">
        <v>1542</v>
      </c>
      <c r="B307" s="76" t="s">
        <v>1543</v>
      </c>
      <c r="C307" s="76">
        <v>12</v>
      </c>
      <c r="D307" s="87">
        <v>0.005886058798518593</v>
      </c>
      <c r="E307" s="87">
        <v>1.7602968013265736</v>
      </c>
      <c r="F307" s="76" t="s">
        <v>340</v>
      </c>
      <c r="G307" s="76" t="b">
        <v>0</v>
      </c>
      <c r="H307" s="76" t="b">
        <v>0</v>
      </c>
      <c r="I307" s="76" t="b">
        <v>0</v>
      </c>
      <c r="J307" s="76" t="b">
        <v>0</v>
      </c>
      <c r="K307" s="76" t="b">
        <v>0</v>
      </c>
      <c r="L307" s="76" t="b">
        <v>0</v>
      </c>
    </row>
    <row r="308" spans="1:12" ht="15">
      <c r="A308" s="73" t="s">
        <v>1543</v>
      </c>
      <c r="B308" s="76" t="s">
        <v>1492</v>
      </c>
      <c r="C308" s="76">
        <v>12</v>
      </c>
      <c r="D308" s="87">
        <v>0.005886058798518593</v>
      </c>
      <c r="E308" s="87">
        <v>1.237418056046236</v>
      </c>
      <c r="F308" s="76" t="s">
        <v>340</v>
      </c>
      <c r="G308" s="76" t="b">
        <v>0</v>
      </c>
      <c r="H308" s="76" t="b">
        <v>0</v>
      </c>
      <c r="I308" s="76" t="b">
        <v>0</v>
      </c>
      <c r="J308" s="76" t="b">
        <v>0</v>
      </c>
      <c r="K308" s="76" t="b">
        <v>0</v>
      </c>
      <c r="L308" s="76" t="b">
        <v>0</v>
      </c>
    </row>
    <row r="309" spans="1:12" ht="15">
      <c r="A309" s="73" t="s">
        <v>1492</v>
      </c>
      <c r="B309" s="76" t="s">
        <v>1511</v>
      </c>
      <c r="C309" s="76">
        <v>12</v>
      </c>
      <c r="D309" s="87">
        <v>0.005886058798518593</v>
      </c>
      <c r="E309" s="87">
        <v>1.237418056046236</v>
      </c>
      <c r="F309" s="76" t="s">
        <v>340</v>
      </c>
      <c r="G309" s="76" t="b">
        <v>0</v>
      </c>
      <c r="H309" s="76" t="b">
        <v>0</v>
      </c>
      <c r="I309" s="76" t="b">
        <v>0</v>
      </c>
      <c r="J309" s="76" t="b">
        <v>0</v>
      </c>
      <c r="K309" s="76" t="b">
        <v>0</v>
      </c>
      <c r="L309" s="76" t="b">
        <v>0</v>
      </c>
    </row>
    <row r="310" spans="1:12" ht="15">
      <c r="A310" s="73" t="s">
        <v>1511</v>
      </c>
      <c r="B310" s="76" t="s">
        <v>1497</v>
      </c>
      <c r="C310" s="76">
        <v>12</v>
      </c>
      <c r="D310" s="87">
        <v>0.005886058798518593</v>
      </c>
      <c r="E310" s="87">
        <v>1.7602968013265736</v>
      </c>
      <c r="F310" s="76" t="s">
        <v>340</v>
      </c>
      <c r="G310" s="76" t="b">
        <v>0</v>
      </c>
      <c r="H310" s="76" t="b">
        <v>0</v>
      </c>
      <c r="I310" s="76" t="b">
        <v>0</v>
      </c>
      <c r="J310" s="76" t="b">
        <v>0</v>
      </c>
      <c r="K310" s="76" t="b">
        <v>0</v>
      </c>
      <c r="L310" s="76" t="b">
        <v>0</v>
      </c>
    </row>
    <row r="311" spans="1:12" ht="15">
      <c r="A311" s="73" t="s">
        <v>1497</v>
      </c>
      <c r="B311" s="76" t="s">
        <v>1512</v>
      </c>
      <c r="C311" s="76">
        <v>12</v>
      </c>
      <c r="D311" s="87">
        <v>0.005886058798518593</v>
      </c>
      <c r="E311" s="87">
        <v>1.7602968013265736</v>
      </c>
      <c r="F311" s="76" t="s">
        <v>340</v>
      </c>
      <c r="G311" s="76" t="b">
        <v>0</v>
      </c>
      <c r="H311" s="76" t="b">
        <v>0</v>
      </c>
      <c r="I311" s="76" t="b">
        <v>0</v>
      </c>
      <c r="J311" s="76" t="b">
        <v>0</v>
      </c>
      <c r="K311" s="76" t="b">
        <v>0</v>
      </c>
      <c r="L311" s="76" t="b">
        <v>0</v>
      </c>
    </row>
    <row r="312" spans="1:12" ht="15">
      <c r="A312" s="73" t="s">
        <v>1512</v>
      </c>
      <c r="B312" s="76" t="s">
        <v>1491</v>
      </c>
      <c r="C312" s="76">
        <v>12</v>
      </c>
      <c r="D312" s="87">
        <v>0.005886058798518593</v>
      </c>
      <c r="E312" s="87">
        <v>1.4592668056625924</v>
      </c>
      <c r="F312" s="76" t="s">
        <v>340</v>
      </c>
      <c r="G312" s="76" t="b">
        <v>0</v>
      </c>
      <c r="H312" s="76" t="b">
        <v>0</v>
      </c>
      <c r="I312" s="76" t="b">
        <v>0</v>
      </c>
      <c r="J312" s="76" t="b">
        <v>0</v>
      </c>
      <c r="K312" s="76" t="b">
        <v>0</v>
      </c>
      <c r="L312" s="76" t="b">
        <v>0</v>
      </c>
    </row>
    <row r="313" spans="1:12" ht="15">
      <c r="A313" s="73" t="s">
        <v>1491</v>
      </c>
      <c r="B313" s="76" t="s">
        <v>1544</v>
      </c>
      <c r="C313" s="76">
        <v>12</v>
      </c>
      <c r="D313" s="87">
        <v>0.005886058798518593</v>
      </c>
      <c r="E313" s="87">
        <v>1.4592668056625924</v>
      </c>
      <c r="F313" s="76" t="s">
        <v>340</v>
      </c>
      <c r="G313" s="76" t="b">
        <v>0</v>
      </c>
      <c r="H313" s="76" t="b">
        <v>0</v>
      </c>
      <c r="I313" s="76" t="b">
        <v>0</v>
      </c>
      <c r="J313" s="76" t="b">
        <v>0</v>
      </c>
      <c r="K313" s="76" t="b">
        <v>0</v>
      </c>
      <c r="L313" s="76" t="b">
        <v>0</v>
      </c>
    </row>
    <row r="314" spans="1:12" ht="15">
      <c r="A314" s="73" t="s">
        <v>1544</v>
      </c>
      <c r="B314" s="76" t="s">
        <v>1545</v>
      </c>
      <c r="C314" s="76">
        <v>12</v>
      </c>
      <c r="D314" s="87">
        <v>0.005886058798518593</v>
      </c>
      <c r="E314" s="87">
        <v>1.7602968013265736</v>
      </c>
      <c r="F314" s="76" t="s">
        <v>340</v>
      </c>
      <c r="G314" s="76" t="b">
        <v>0</v>
      </c>
      <c r="H314" s="76" t="b">
        <v>0</v>
      </c>
      <c r="I314" s="76" t="b">
        <v>0</v>
      </c>
      <c r="J314" s="76" t="b">
        <v>0</v>
      </c>
      <c r="K314" s="76" t="b">
        <v>0</v>
      </c>
      <c r="L314" s="76" t="b">
        <v>0</v>
      </c>
    </row>
    <row r="315" spans="1:12" ht="15">
      <c r="A315" s="73" t="s">
        <v>1545</v>
      </c>
      <c r="B315" s="76" t="s">
        <v>1546</v>
      </c>
      <c r="C315" s="76">
        <v>12</v>
      </c>
      <c r="D315" s="87">
        <v>0.005886058798518593</v>
      </c>
      <c r="E315" s="87">
        <v>1.7602968013265736</v>
      </c>
      <c r="F315" s="76" t="s">
        <v>340</v>
      </c>
      <c r="G315" s="76" t="b">
        <v>0</v>
      </c>
      <c r="H315" s="76" t="b">
        <v>0</v>
      </c>
      <c r="I315" s="76" t="b">
        <v>0</v>
      </c>
      <c r="J315" s="76" t="b">
        <v>1</v>
      </c>
      <c r="K315" s="76" t="b">
        <v>0</v>
      </c>
      <c r="L315" s="76" t="b">
        <v>0</v>
      </c>
    </row>
    <row r="316" spans="1:12" ht="15">
      <c r="A316" s="73" t="s">
        <v>1546</v>
      </c>
      <c r="B316" s="76" t="s">
        <v>1499</v>
      </c>
      <c r="C316" s="76">
        <v>12</v>
      </c>
      <c r="D316" s="87">
        <v>0.005886058798518593</v>
      </c>
      <c r="E316" s="87">
        <v>1.7602968013265736</v>
      </c>
      <c r="F316" s="76" t="s">
        <v>340</v>
      </c>
      <c r="G316" s="76" t="b">
        <v>1</v>
      </c>
      <c r="H316" s="76" t="b">
        <v>0</v>
      </c>
      <c r="I316" s="76" t="b">
        <v>0</v>
      </c>
      <c r="J316" s="76" t="b">
        <v>0</v>
      </c>
      <c r="K316" s="76" t="b">
        <v>0</v>
      </c>
      <c r="L316" s="76" t="b">
        <v>0</v>
      </c>
    </row>
    <row r="317" spans="1:12" ht="15">
      <c r="A317" s="73" t="s">
        <v>1499</v>
      </c>
      <c r="B317" s="76" t="s">
        <v>1493</v>
      </c>
      <c r="C317" s="76">
        <v>12</v>
      </c>
      <c r="D317" s="87">
        <v>0.005886058798518593</v>
      </c>
      <c r="E317" s="87">
        <v>1.4245046994033805</v>
      </c>
      <c r="F317" s="76" t="s">
        <v>340</v>
      </c>
      <c r="G317" s="76" t="b">
        <v>0</v>
      </c>
      <c r="H317" s="76" t="b">
        <v>0</v>
      </c>
      <c r="I317" s="76" t="b">
        <v>0</v>
      </c>
      <c r="J317" s="76" t="b">
        <v>0</v>
      </c>
      <c r="K317" s="76" t="b">
        <v>0</v>
      </c>
      <c r="L317" s="76" t="b">
        <v>0</v>
      </c>
    </row>
    <row r="318" spans="1:12" ht="15">
      <c r="A318" s="73" t="s">
        <v>1493</v>
      </c>
      <c r="B318" s="76" t="s">
        <v>1547</v>
      </c>
      <c r="C318" s="76">
        <v>12</v>
      </c>
      <c r="D318" s="87">
        <v>0.005886058798518593</v>
      </c>
      <c r="E318" s="87">
        <v>1.4245046994033805</v>
      </c>
      <c r="F318" s="76" t="s">
        <v>340</v>
      </c>
      <c r="G318" s="76" t="b">
        <v>0</v>
      </c>
      <c r="H318" s="76" t="b">
        <v>0</v>
      </c>
      <c r="I318" s="76" t="b">
        <v>0</v>
      </c>
      <c r="J318" s="76" t="b">
        <v>0</v>
      </c>
      <c r="K318" s="76" t="b">
        <v>0</v>
      </c>
      <c r="L318" s="76" t="b">
        <v>0</v>
      </c>
    </row>
    <row r="319" spans="1:12" ht="15">
      <c r="A319" s="73" t="s">
        <v>1547</v>
      </c>
      <c r="B319" s="76" t="s">
        <v>1548</v>
      </c>
      <c r="C319" s="76">
        <v>12</v>
      </c>
      <c r="D319" s="87">
        <v>0.005886058798518593</v>
      </c>
      <c r="E319" s="87">
        <v>1.7602968013265736</v>
      </c>
      <c r="F319" s="76" t="s">
        <v>340</v>
      </c>
      <c r="G319" s="76" t="b">
        <v>0</v>
      </c>
      <c r="H319" s="76" t="b">
        <v>0</v>
      </c>
      <c r="I319" s="76" t="b">
        <v>0</v>
      </c>
      <c r="J319" s="76" t="b">
        <v>0</v>
      </c>
      <c r="K319" s="76" t="b">
        <v>0</v>
      </c>
      <c r="L319" s="76" t="b">
        <v>0</v>
      </c>
    </row>
    <row r="320" spans="1:12" ht="15">
      <c r="A320" s="73" t="s">
        <v>1548</v>
      </c>
      <c r="B320" s="76" t="s">
        <v>1549</v>
      </c>
      <c r="C320" s="76">
        <v>12</v>
      </c>
      <c r="D320" s="87">
        <v>0.005886058798518593</v>
      </c>
      <c r="E320" s="87">
        <v>1.7602968013265736</v>
      </c>
      <c r="F320" s="76" t="s">
        <v>340</v>
      </c>
      <c r="G320" s="76" t="b">
        <v>0</v>
      </c>
      <c r="H320" s="76" t="b">
        <v>0</v>
      </c>
      <c r="I320" s="76" t="b">
        <v>0</v>
      </c>
      <c r="J320" s="76" t="b">
        <v>0</v>
      </c>
      <c r="K320" s="76" t="b">
        <v>0</v>
      </c>
      <c r="L320" s="76" t="b">
        <v>0</v>
      </c>
    </row>
    <row r="321" spans="1:12" ht="15">
      <c r="A321" s="73" t="s">
        <v>1549</v>
      </c>
      <c r="B321" s="76" t="s">
        <v>1500</v>
      </c>
      <c r="C321" s="76">
        <v>12</v>
      </c>
      <c r="D321" s="87">
        <v>0.005886058798518593</v>
      </c>
      <c r="E321" s="87">
        <v>1.7602968013265736</v>
      </c>
      <c r="F321" s="76" t="s">
        <v>340</v>
      </c>
      <c r="G321" s="76" t="b">
        <v>0</v>
      </c>
      <c r="H321" s="76" t="b">
        <v>0</v>
      </c>
      <c r="I321" s="76" t="b">
        <v>0</v>
      </c>
      <c r="J321" s="76" t="b">
        <v>0</v>
      </c>
      <c r="K321" s="76" t="b">
        <v>0</v>
      </c>
      <c r="L321" s="76" t="b">
        <v>0</v>
      </c>
    </row>
    <row r="322" spans="1:12" ht="15">
      <c r="A322" s="73" t="s">
        <v>1500</v>
      </c>
      <c r="B322" s="76" t="s">
        <v>1496</v>
      </c>
      <c r="C322" s="76">
        <v>12</v>
      </c>
      <c r="D322" s="87">
        <v>0.005886058798518593</v>
      </c>
      <c r="E322" s="87">
        <v>1.4592668056625924</v>
      </c>
      <c r="F322" s="76" t="s">
        <v>340</v>
      </c>
      <c r="G322" s="76" t="b">
        <v>0</v>
      </c>
      <c r="H322" s="76" t="b">
        <v>0</v>
      </c>
      <c r="I322" s="76" t="b">
        <v>0</v>
      </c>
      <c r="J322" s="76" t="b">
        <v>0</v>
      </c>
      <c r="K322" s="76" t="b">
        <v>0</v>
      </c>
      <c r="L322" s="76" t="b">
        <v>0</v>
      </c>
    </row>
    <row r="323" spans="1:12" ht="15">
      <c r="A323" s="73" t="s">
        <v>1496</v>
      </c>
      <c r="B323" s="76" t="s">
        <v>720</v>
      </c>
      <c r="C323" s="76">
        <v>12</v>
      </c>
      <c r="D323" s="87">
        <v>0.005886058798518593</v>
      </c>
      <c r="E323" s="87">
        <v>1.1234747037393993</v>
      </c>
      <c r="F323" s="76" t="s">
        <v>340</v>
      </c>
      <c r="G323" s="76" t="b">
        <v>0</v>
      </c>
      <c r="H323" s="76" t="b">
        <v>0</v>
      </c>
      <c r="I323" s="76" t="b">
        <v>0</v>
      </c>
      <c r="J323" s="76" t="b">
        <v>0</v>
      </c>
      <c r="K323" s="76" t="b">
        <v>0</v>
      </c>
      <c r="L323" s="76" t="b">
        <v>0</v>
      </c>
    </row>
    <row r="324" spans="1:12" ht="15">
      <c r="A324" s="73" t="s">
        <v>362</v>
      </c>
      <c r="B324" s="76" t="s">
        <v>363</v>
      </c>
      <c r="C324" s="76">
        <v>14</v>
      </c>
      <c r="D324" s="87">
        <v>0.005302267578974094</v>
      </c>
      <c r="E324" s="87">
        <v>1.2309276586840399</v>
      </c>
      <c r="F324" s="76" t="s">
        <v>341</v>
      </c>
      <c r="G324" s="76" t="b">
        <v>0</v>
      </c>
      <c r="H324" s="76" t="b">
        <v>0</v>
      </c>
      <c r="I324" s="76" t="b">
        <v>0</v>
      </c>
      <c r="J324" s="76" t="b">
        <v>0</v>
      </c>
      <c r="K324" s="76" t="b">
        <v>0</v>
      </c>
      <c r="L324" s="76" t="b">
        <v>0</v>
      </c>
    </row>
    <row r="325" spans="1:12" ht="15">
      <c r="A325" s="73" t="s">
        <v>360</v>
      </c>
      <c r="B325" s="76" t="s">
        <v>362</v>
      </c>
      <c r="C325" s="76">
        <v>12</v>
      </c>
      <c r="D325" s="87">
        <v>0.006509009768695053</v>
      </c>
      <c r="E325" s="87">
        <v>1.1834094208917525</v>
      </c>
      <c r="F325" s="76" t="s">
        <v>341</v>
      </c>
      <c r="G325" s="76" t="b">
        <v>0</v>
      </c>
      <c r="H325" s="76" t="b">
        <v>0</v>
      </c>
      <c r="I325" s="76" t="b">
        <v>0</v>
      </c>
      <c r="J325" s="76" t="b">
        <v>0</v>
      </c>
      <c r="K325" s="76" t="b">
        <v>0</v>
      </c>
      <c r="L325" s="76" t="b">
        <v>0</v>
      </c>
    </row>
    <row r="326" spans="1:12" ht="15">
      <c r="A326" s="73" t="s">
        <v>379</v>
      </c>
      <c r="B326" s="76" t="s">
        <v>362</v>
      </c>
      <c r="C326" s="76">
        <v>4</v>
      </c>
      <c r="D326" s="87">
        <v>0.006835892462943949</v>
      </c>
      <c r="E326" s="87">
        <v>1.0073181618360714</v>
      </c>
      <c r="F326" s="76" t="s">
        <v>341</v>
      </c>
      <c r="G326" s="76" t="b">
        <v>0</v>
      </c>
      <c r="H326" s="76" t="b">
        <v>0</v>
      </c>
      <c r="I326" s="76" t="b">
        <v>0</v>
      </c>
      <c r="J326" s="76" t="b">
        <v>0</v>
      </c>
      <c r="K326" s="76" t="b">
        <v>0</v>
      </c>
      <c r="L326" s="76" t="b">
        <v>0</v>
      </c>
    </row>
    <row r="327" spans="1:12" ht="15">
      <c r="A327" s="73" t="s">
        <v>1680</v>
      </c>
      <c r="B327" s="76" t="s">
        <v>1628</v>
      </c>
      <c r="C327" s="76">
        <v>2</v>
      </c>
      <c r="D327" s="87">
        <v>0.004889975550122249</v>
      </c>
      <c r="E327" s="87">
        <v>2.112828346606045</v>
      </c>
      <c r="F327" s="76" t="s">
        <v>341</v>
      </c>
      <c r="G327" s="76" t="b">
        <v>0</v>
      </c>
      <c r="H327" s="76" t="b">
        <v>0</v>
      </c>
      <c r="I327" s="76" t="b">
        <v>0</v>
      </c>
      <c r="J327" s="76" t="b">
        <v>0</v>
      </c>
      <c r="K327" s="76" t="b">
        <v>0</v>
      </c>
      <c r="L327" s="76" t="b">
        <v>0</v>
      </c>
    </row>
    <row r="328" spans="1:12" ht="15">
      <c r="A328" s="73" t="s">
        <v>1588</v>
      </c>
      <c r="B328" s="76" t="s">
        <v>1580</v>
      </c>
      <c r="C328" s="76">
        <v>2</v>
      </c>
      <c r="D328" s="87">
        <v>0.004889975550122249</v>
      </c>
      <c r="E328" s="87">
        <v>2.112828346606045</v>
      </c>
      <c r="F328" s="76" t="s">
        <v>341</v>
      </c>
      <c r="G328" s="76" t="b">
        <v>0</v>
      </c>
      <c r="H328" s="76" t="b">
        <v>0</v>
      </c>
      <c r="I328" s="76" t="b">
        <v>0</v>
      </c>
      <c r="J328" s="76" t="b">
        <v>0</v>
      </c>
      <c r="K328" s="76" t="b">
        <v>0</v>
      </c>
      <c r="L328" s="76" t="b">
        <v>0</v>
      </c>
    </row>
    <row r="329" spans="1:12" ht="15">
      <c r="A329" s="73" t="s">
        <v>1603</v>
      </c>
      <c r="B329" s="76" t="s">
        <v>379</v>
      </c>
      <c r="C329" s="76">
        <v>2</v>
      </c>
      <c r="D329" s="87">
        <v>0.004889975550122249</v>
      </c>
      <c r="E329" s="87">
        <v>1.4138583422700264</v>
      </c>
      <c r="F329" s="76" t="s">
        <v>341</v>
      </c>
      <c r="G329" s="76" t="b">
        <v>0</v>
      </c>
      <c r="H329" s="76" t="b">
        <v>0</v>
      </c>
      <c r="I329" s="76" t="b">
        <v>0</v>
      </c>
      <c r="J329" s="76" t="b">
        <v>0</v>
      </c>
      <c r="K329" s="76" t="b">
        <v>0</v>
      </c>
      <c r="L329" s="76" t="b">
        <v>0</v>
      </c>
    </row>
    <row r="330" spans="1:12" ht="15">
      <c r="A330" s="73" t="s">
        <v>1527</v>
      </c>
      <c r="B330" s="76" t="s">
        <v>1528</v>
      </c>
      <c r="C330" s="76">
        <v>13</v>
      </c>
      <c r="D330" s="87">
        <v>0</v>
      </c>
      <c r="E330" s="87">
        <v>1.3424226808222062</v>
      </c>
      <c r="F330" s="76" t="s">
        <v>342</v>
      </c>
      <c r="G330" s="76" t="b">
        <v>0</v>
      </c>
      <c r="H330" s="76" t="b">
        <v>0</v>
      </c>
      <c r="I330" s="76" t="b">
        <v>0</v>
      </c>
      <c r="J330" s="76" t="b">
        <v>0</v>
      </c>
      <c r="K330" s="76" t="b">
        <v>0</v>
      </c>
      <c r="L330" s="76" t="b">
        <v>0</v>
      </c>
    </row>
    <row r="331" spans="1:12" ht="15">
      <c r="A331" s="73" t="s">
        <v>1528</v>
      </c>
      <c r="B331" s="76" t="s">
        <v>1529</v>
      </c>
      <c r="C331" s="76">
        <v>13</v>
      </c>
      <c r="D331" s="87">
        <v>0</v>
      </c>
      <c r="E331" s="87">
        <v>1.3424226808222062</v>
      </c>
      <c r="F331" s="76" t="s">
        <v>342</v>
      </c>
      <c r="G331" s="76" t="b">
        <v>0</v>
      </c>
      <c r="H331" s="76" t="b">
        <v>0</v>
      </c>
      <c r="I331" s="76" t="b">
        <v>0</v>
      </c>
      <c r="J331" s="76" t="b">
        <v>0</v>
      </c>
      <c r="K331" s="76" t="b">
        <v>0</v>
      </c>
      <c r="L331" s="76" t="b">
        <v>0</v>
      </c>
    </row>
    <row r="332" spans="1:12" ht="15">
      <c r="A332" s="73" t="s">
        <v>1529</v>
      </c>
      <c r="B332" s="76" t="s">
        <v>1510</v>
      </c>
      <c r="C332" s="76">
        <v>13</v>
      </c>
      <c r="D332" s="87">
        <v>0</v>
      </c>
      <c r="E332" s="87">
        <v>1.3424226808222062</v>
      </c>
      <c r="F332" s="76" t="s">
        <v>342</v>
      </c>
      <c r="G332" s="76" t="b">
        <v>0</v>
      </c>
      <c r="H332" s="76" t="b">
        <v>0</v>
      </c>
      <c r="I332" s="76" t="b">
        <v>0</v>
      </c>
      <c r="J332" s="76" t="b">
        <v>0</v>
      </c>
      <c r="K332" s="76" t="b">
        <v>0</v>
      </c>
      <c r="L332" s="76" t="b">
        <v>0</v>
      </c>
    </row>
    <row r="333" spans="1:12" ht="15">
      <c r="A333" s="73" t="s">
        <v>1510</v>
      </c>
      <c r="B333" s="76" t="s">
        <v>360</v>
      </c>
      <c r="C333" s="76">
        <v>13</v>
      </c>
      <c r="D333" s="87">
        <v>0</v>
      </c>
      <c r="E333" s="87">
        <v>1.3424226808222062</v>
      </c>
      <c r="F333" s="76" t="s">
        <v>342</v>
      </c>
      <c r="G333" s="76" t="b">
        <v>0</v>
      </c>
      <c r="H333" s="76" t="b">
        <v>0</v>
      </c>
      <c r="I333" s="76" t="b">
        <v>0</v>
      </c>
      <c r="J333" s="76" t="b">
        <v>0</v>
      </c>
      <c r="K333" s="76" t="b">
        <v>0</v>
      </c>
      <c r="L333" s="76" t="b">
        <v>0</v>
      </c>
    </row>
    <row r="334" spans="1:12" ht="15">
      <c r="A334" s="73" t="s">
        <v>360</v>
      </c>
      <c r="B334" s="76" t="s">
        <v>362</v>
      </c>
      <c r="C334" s="76">
        <v>13</v>
      </c>
      <c r="D334" s="87">
        <v>0</v>
      </c>
      <c r="E334" s="87">
        <v>1.3424226808222062</v>
      </c>
      <c r="F334" s="76" t="s">
        <v>342</v>
      </c>
      <c r="G334" s="76" t="b">
        <v>0</v>
      </c>
      <c r="H334" s="76" t="b">
        <v>0</v>
      </c>
      <c r="I334" s="76" t="b">
        <v>0</v>
      </c>
      <c r="J334" s="76" t="b">
        <v>0</v>
      </c>
      <c r="K334" s="76" t="b">
        <v>0</v>
      </c>
      <c r="L334" s="76" t="b">
        <v>0</v>
      </c>
    </row>
    <row r="335" spans="1:12" ht="15">
      <c r="A335" s="73" t="s">
        <v>362</v>
      </c>
      <c r="B335" s="76" t="s">
        <v>363</v>
      </c>
      <c r="C335" s="76">
        <v>13</v>
      </c>
      <c r="D335" s="87">
        <v>0</v>
      </c>
      <c r="E335" s="87">
        <v>1.3424226808222062</v>
      </c>
      <c r="F335" s="76" t="s">
        <v>342</v>
      </c>
      <c r="G335" s="76" t="b">
        <v>0</v>
      </c>
      <c r="H335" s="76" t="b">
        <v>0</v>
      </c>
      <c r="I335" s="76" t="b">
        <v>0</v>
      </c>
      <c r="J335" s="76" t="b">
        <v>0</v>
      </c>
      <c r="K335" s="76" t="b">
        <v>0</v>
      </c>
      <c r="L335" s="76" t="b">
        <v>0</v>
      </c>
    </row>
    <row r="336" spans="1:12" ht="15">
      <c r="A336" s="73" t="s">
        <v>363</v>
      </c>
      <c r="B336" s="76" t="s">
        <v>1530</v>
      </c>
      <c r="C336" s="76">
        <v>13</v>
      </c>
      <c r="D336" s="87">
        <v>0</v>
      </c>
      <c r="E336" s="87">
        <v>1.3424226808222062</v>
      </c>
      <c r="F336" s="76" t="s">
        <v>342</v>
      </c>
      <c r="G336" s="76" t="b">
        <v>0</v>
      </c>
      <c r="H336" s="76" t="b">
        <v>0</v>
      </c>
      <c r="I336" s="76" t="b">
        <v>0</v>
      </c>
      <c r="J336" s="76" t="b">
        <v>0</v>
      </c>
      <c r="K336" s="76" t="b">
        <v>0</v>
      </c>
      <c r="L336" s="76" t="b">
        <v>0</v>
      </c>
    </row>
    <row r="337" spans="1:12" ht="15">
      <c r="A337" s="73" t="s">
        <v>1530</v>
      </c>
      <c r="B337" s="76" t="s">
        <v>1494</v>
      </c>
      <c r="C337" s="76">
        <v>13</v>
      </c>
      <c r="D337" s="87">
        <v>0</v>
      </c>
      <c r="E337" s="87">
        <v>1.0413926851582251</v>
      </c>
      <c r="F337" s="76" t="s">
        <v>342</v>
      </c>
      <c r="G337" s="76" t="b">
        <v>0</v>
      </c>
      <c r="H337" s="76" t="b">
        <v>0</v>
      </c>
      <c r="I337" s="76" t="b">
        <v>0</v>
      </c>
      <c r="J337" s="76" t="b">
        <v>0</v>
      </c>
      <c r="K337" s="76" t="b">
        <v>0</v>
      </c>
      <c r="L337" s="76" t="b">
        <v>0</v>
      </c>
    </row>
    <row r="338" spans="1:12" ht="15">
      <c r="A338" s="73" t="s">
        <v>1494</v>
      </c>
      <c r="B338" s="76" t="s">
        <v>1495</v>
      </c>
      <c r="C338" s="76">
        <v>13</v>
      </c>
      <c r="D338" s="87">
        <v>0</v>
      </c>
      <c r="E338" s="87">
        <v>0.7403626894942439</v>
      </c>
      <c r="F338" s="76" t="s">
        <v>342</v>
      </c>
      <c r="G338" s="76" t="b">
        <v>0</v>
      </c>
      <c r="H338" s="76" t="b">
        <v>0</v>
      </c>
      <c r="I338" s="76" t="b">
        <v>0</v>
      </c>
      <c r="J338" s="76" t="b">
        <v>0</v>
      </c>
      <c r="K338" s="76" t="b">
        <v>0</v>
      </c>
      <c r="L338" s="76" t="b">
        <v>0</v>
      </c>
    </row>
    <row r="339" spans="1:12" ht="15">
      <c r="A339" s="73" t="s">
        <v>1495</v>
      </c>
      <c r="B339" s="76" t="s">
        <v>1495</v>
      </c>
      <c r="C339" s="76">
        <v>13</v>
      </c>
      <c r="D339" s="87">
        <v>0</v>
      </c>
      <c r="E339" s="87">
        <v>0.7403626894942439</v>
      </c>
      <c r="F339" s="76" t="s">
        <v>342</v>
      </c>
      <c r="G339" s="76" t="b">
        <v>0</v>
      </c>
      <c r="H339" s="76" t="b">
        <v>0</v>
      </c>
      <c r="I339" s="76" t="b">
        <v>0</v>
      </c>
      <c r="J339" s="76" t="b">
        <v>0</v>
      </c>
      <c r="K339" s="76" t="b">
        <v>0</v>
      </c>
      <c r="L339" s="76" t="b">
        <v>0</v>
      </c>
    </row>
    <row r="340" spans="1:12" ht="15">
      <c r="A340" s="73" t="s">
        <v>1495</v>
      </c>
      <c r="B340" s="76" t="s">
        <v>1494</v>
      </c>
      <c r="C340" s="76">
        <v>13</v>
      </c>
      <c r="D340" s="87">
        <v>0</v>
      </c>
      <c r="E340" s="87">
        <v>0.7403626894942439</v>
      </c>
      <c r="F340" s="76" t="s">
        <v>342</v>
      </c>
      <c r="G340" s="76" t="b">
        <v>0</v>
      </c>
      <c r="H340" s="76" t="b">
        <v>0</v>
      </c>
      <c r="I340" s="76" t="b">
        <v>0</v>
      </c>
      <c r="J340" s="76" t="b">
        <v>0</v>
      </c>
      <c r="K340" s="76" t="b">
        <v>0</v>
      </c>
      <c r="L340" s="76" t="b">
        <v>0</v>
      </c>
    </row>
    <row r="341" spans="1:12" ht="15">
      <c r="A341" s="73" t="s">
        <v>1494</v>
      </c>
      <c r="B341" s="76" t="s">
        <v>1531</v>
      </c>
      <c r="C341" s="76">
        <v>13</v>
      </c>
      <c r="D341" s="87">
        <v>0</v>
      </c>
      <c r="E341" s="87">
        <v>1.0413926851582251</v>
      </c>
      <c r="F341" s="76" t="s">
        <v>342</v>
      </c>
      <c r="G341" s="76" t="b">
        <v>0</v>
      </c>
      <c r="H341" s="76" t="b">
        <v>0</v>
      </c>
      <c r="I341" s="76" t="b">
        <v>0</v>
      </c>
      <c r="J341" s="76" t="b">
        <v>0</v>
      </c>
      <c r="K341" s="76" t="b">
        <v>0</v>
      </c>
      <c r="L341" s="76" t="b">
        <v>0</v>
      </c>
    </row>
    <row r="342" spans="1:12" ht="15">
      <c r="A342" s="73" t="s">
        <v>1531</v>
      </c>
      <c r="B342" s="76" t="s">
        <v>1532</v>
      </c>
      <c r="C342" s="76">
        <v>13</v>
      </c>
      <c r="D342" s="87">
        <v>0</v>
      </c>
      <c r="E342" s="87">
        <v>1.3424226808222062</v>
      </c>
      <c r="F342" s="76" t="s">
        <v>342</v>
      </c>
      <c r="G342" s="76" t="b">
        <v>0</v>
      </c>
      <c r="H342" s="76" t="b">
        <v>0</v>
      </c>
      <c r="I342" s="76" t="b">
        <v>0</v>
      </c>
      <c r="J342" s="76" t="b">
        <v>0</v>
      </c>
      <c r="K342" s="76" t="b">
        <v>0</v>
      </c>
      <c r="L342" s="76" t="b">
        <v>0</v>
      </c>
    </row>
    <row r="343" spans="1:12" ht="15">
      <c r="A343" s="73" t="s">
        <v>1532</v>
      </c>
      <c r="B343" s="76" t="s">
        <v>1533</v>
      </c>
      <c r="C343" s="76">
        <v>13</v>
      </c>
      <c r="D343" s="87">
        <v>0</v>
      </c>
      <c r="E343" s="87">
        <v>1.3424226808222062</v>
      </c>
      <c r="F343" s="76" t="s">
        <v>342</v>
      </c>
      <c r="G343" s="76" t="b">
        <v>0</v>
      </c>
      <c r="H343" s="76" t="b">
        <v>0</v>
      </c>
      <c r="I343" s="76" t="b">
        <v>0</v>
      </c>
      <c r="J343" s="76" t="b">
        <v>0</v>
      </c>
      <c r="K343" s="76" t="b">
        <v>0</v>
      </c>
      <c r="L343" s="76" t="b">
        <v>0</v>
      </c>
    </row>
    <row r="344" spans="1:12" ht="15">
      <c r="A344" s="73" t="s">
        <v>1533</v>
      </c>
      <c r="B344" s="76" t="s">
        <v>1534</v>
      </c>
      <c r="C344" s="76">
        <v>13</v>
      </c>
      <c r="D344" s="87">
        <v>0</v>
      </c>
      <c r="E344" s="87">
        <v>1.3424226808222062</v>
      </c>
      <c r="F344" s="76" t="s">
        <v>342</v>
      </c>
      <c r="G344" s="76" t="b">
        <v>0</v>
      </c>
      <c r="H344" s="76" t="b">
        <v>0</v>
      </c>
      <c r="I344" s="76" t="b">
        <v>0</v>
      </c>
      <c r="J344" s="76" t="b">
        <v>0</v>
      </c>
      <c r="K344" s="76" t="b">
        <v>0</v>
      </c>
      <c r="L344" s="76" t="b">
        <v>0</v>
      </c>
    </row>
    <row r="345" spans="1:12" ht="15">
      <c r="A345" s="73" t="s">
        <v>1534</v>
      </c>
      <c r="B345" s="76" t="s">
        <v>1497</v>
      </c>
      <c r="C345" s="76">
        <v>13</v>
      </c>
      <c r="D345" s="87">
        <v>0</v>
      </c>
      <c r="E345" s="87">
        <v>1.3424226808222062</v>
      </c>
      <c r="F345" s="76" t="s">
        <v>342</v>
      </c>
      <c r="G345" s="76" t="b">
        <v>0</v>
      </c>
      <c r="H345" s="76" t="b">
        <v>0</v>
      </c>
      <c r="I345" s="76" t="b">
        <v>0</v>
      </c>
      <c r="J345" s="76" t="b">
        <v>0</v>
      </c>
      <c r="K345" s="76" t="b">
        <v>0</v>
      </c>
      <c r="L345" s="76" t="b">
        <v>0</v>
      </c>
    </row>
    <row r="346" spans="1:12" ht="15">
      <c r="A346" s="73" t="s">
        <v>1497</v>
      </c>
      <c r="B346" s="76" t="s">
        <v>1506</v>
      </c>
      <c r="C346" s="76">
        <v>13</v>
      </c>
      <c r="D346" s="87">
        <v>0</v>
      </c>
      <c r="E346" s="87">
        <v>1.3424226808222062</v>
      </c>
      <c r="F346" s="76" t="s">
        <v>342</v>
      </c>
      <c r="G346" s="76" t="b">
        <v>0</v>
      </c>
      <c r="H346" s="76" t="b">
        <v>0</v>
      </c>
      <c r="I346" s="76" t="b">
        <v>0</v>
      </c>
      <c r="J346" s="76" t="b">
        <v>0</v>
      </c>
      <c r="K346" s="76" t="b">
        <v>0</v>
      </c>
      <c r="L346" s="76" t="b">
        <v>0</v>
      </c>
    </row>
    <row r="347" spans="1:12" ht="15">
      <c r="A347" s="73" t="s">
        <v>1506</v>
      </c>
      <c r="B347" s="76" t="s">
        <v>1535</v>
      </c>
      <c r="C347" s="76">
        <v>13</v>
      </c>
      <c r="D347" s="87">
        <v>0</v>
      </c>
      <c r="E347" s="87">
        <v>1.3424226808222062</v>
      </c>
      <c r="F347" s="76" t="s">
        <v>342</v>
      </c>
      <c r="G347" s="76" t="b">
        <v>0</v>
      </c>
      <c r="H347" s="76" t="b">
        <v>0</v>
      </c>
      <c r="I347" s="76" t="b">
        <v>0</v>
      </c>
      <c r="J347" s="76" t="b">
        <v>0</v>
      </c>
      <c r="K347" s="76" t="b">
        <v>0</v>
      </c>
      <c r="L347" s="76" t="b">
        <v>0</v>
      </c>
    </row>
    <row r="348" spans="1:12" ht="15">
      <c r="A348" s="73" t="s">
        <v>1535</v>
      </c>
      <c r="B348" s="76" t="s">
        <v>1536</v>
      </c>
      <c r="C348" s="76">
        <v>13</v>
      </c>
      <c r="D348" s="87">
        <v>0</v>
      </c>
      <c r="E348" s="87">
        <v>1.3424226808222062</v>
      </c>
      <c r="F348" s="76" t="s">
        <v>342</v>
      </c>
      <c r="G348" s="76" t="b">
        <v>0</v>
      </c>
      <c r="H348" s="76" t="b">
        <v>0</v>
      </c>
      <c r="I348" s="76" t="b">
        <v>0</v>
      </c>
      <c r="J348" s="76" t="b">
        <v>0</v>
      </c>
      <c r="K348" s="76" t="b">
        <v>0</v>
      </c>
      <c r="L348" s="76" t="b">
        <v>0</v>
      </c>
    </row>
    <row r="349" spans="1:12" ht="15">
      <c r="A349" s="73" t="s">
        <v>1536</v>
      </c>
      <c r="B349" s="76" t="s">
        <v>1525</v>
      </c>
      <c r="C349" s="76">
        <v>13</v>
      </c>
      <c r="D349" s="87">
        <v>0</v>
      </c>
      <c r="E349" s="87">
        <v>1.3424226808222062</v>
      </c>
      <c r="F349" s="76" t="s">
        <v>342</v>
      </c>
      <c r="G349" s="76" t="b">
        <v>0</v>
      </c>
      <c r="H349" s="76" t="b">
        <v>0</v>
      </c>
      <c r="I349" s="76" t="b">
        <v>0</v>
      </c>
      <c r="J349" s="76" t="b">
        <v>0</v>
      </c>
      <c r="K349" s="76" t="b">
        <v>0</v>
      </c>
      <c r="L349" s="76" t="b">
        <v>0</v>
      </c>
    </row>
    <row r="350" spans="1:12" ht="15">
      <c r="A350" s="73" t="s">
        <v>1525</v>
      </c>
      <c r="B350" s="76" t="s">
        <v>1537</v>
      </c>
      <c r="C350" s="76">
        <v>13</v>
      </c>
      <c r="D350" s="87">
        <v>0</v>
      </c>
      <c r="E350" s="87">
        <v>1.3424226808222062</v>
      </c>
      <c r="F350" s="76" t="s">
        <v>342</v>
      </c>
      <c r="G350" s="76" t="b">
        <v>0</v>
      </c>
      <c r="H350" s="76" t="b">
        <v>0</v>
      </c>
      <c r="I350" s="76" t="b">
        <v>0</v>
      </c>
      <c r="J350" s="76" t="b">
        <v>0</v>
      </c>
      <c r="K350" s="76" t="b">
        <v>0</v>
      </c>
      <c r="L350" s="76" t="b">
        <v>0</v>
      </c>
    </row>
    <row r="351" spans="1:12" ht="15">
      <c r="A351" s="73" t="s">
        <v>1537</v>
      </c>
      <c r="B351" s="76" t="s">
        <v>1507</v>
      </c>
      <c r="C351" s="76">
        <v>13</v>
      </c>
      <c r="D351" s="87">
        <v>0</v>
      </c>
      <c r="E351" s="87">
        <v>1.3424226808222062</v>
      </c>
      <c r="F351" s="76" t="s">
        <v>342</v>
      </c>
      <c r="G351" s="76" t="b">
        <v>0</v>
      </c>
      <c r="H351" s="76" t="b">
        <v>0</v>
      </c>
      <c r="I351" s="76" t="b">
        <v>0</v>
      </c>
      <c r="J351" s="76" t="b">
        <v>0</v>
      </c>
      <c r="K351" s="76" t="b">
        <v>0</v>
      </c>
      <c r="L351" s="76" t="b">
        <v>0</v>
      </c>
    </row>
    <row r="352" spans="1:12" ht="15">
      <c r="A352" s="73" t="s">
        <v>360</v>
      </c>
      <c r="B352" s="76" t="s">
        <v>362</v>
      </c>
      <c r="C352" s="76">
        <v>6</v>
      </c>
      <c r="D352" s="87">
        <v>0</v>
      </c>
      <c r="E352" s="87">
        <v>0.9852767431792936</v>
      </c>
      <c r="F352" s="76" t="s">
        <v>1462</v>
      </c>
      <c r="G352" s="76" t="b">
        <v>0</v>
      </c>
      <c r="H352" s="76" t="b">
        <v>0</v>
      </c>
      <c r="I352" s="76" t="b">
        <v>0</v>
      </c>
      <c r="J352" s="76" t="b">
        <v>0</v>
      </c>
      <c r="K352" s="76" t="b">
        <v>0</v>
      </c>
      <c r="L352" s="76" t="b">
        <v>0</v>
      </c>
    </row>
    <row r="353" spans="1:12" ht="15">
      <c r="A353" s="73" t="s">
        <v>362</v>
      </c>
      <c r="B353" s="76" t="s">
        <v>363</v>
      </c>
      <c r="C353" s="76">
        <v>6</v>
      </c>
      <c r="D353" s="87">
        <v>0</v>
      </c>
      <c r="E353" s="87">
        <v>0.9852767431792936</v>
      </c>
      <c r="F353" s="76" t="s">
        <v>1462</v>
      </c>
      <c r="G353" s="76" t="b">
        <v>0</v>
      </c>
      <c r="H353" s="76" t="b">
        <v>0</v>
      </c>
      <c r="I353" s="76" t="b">
        <v>0</v>
      </c>
      <c r="J353" s="76" t="b">
        <v>0</v>
      </c>
      <c r="K353" s="76" t="b">
        <v>0</v>
      </c>
      <c r="L353" s="76" t="b">
        <v>0</v>
      </c>
    </row>
    <row r="354" spans="1:12" ht="15">
      <c r="A354" s="73" t="s">
        <v>363</v>
      </c>
      <c r="B354" s="76" t="s">
        <v>642</v>
      </c>
      <c r="C354" s="76">
        <v>4</v>
      </c>
      <c r="D354" s="87">
        <v>0.011005703690980077</v>
      </c>
      <c r="E354" s="87">
        <v>0.8091854841236125</v>
      </c>
      <c r="F354" s="76" t="s">
        <v>1462</v>
      </c>
      <c r="G354" s="76" t="b">
        <v>0</v>
      </c>
      <c r="H354" s="76" t="b">
        <v>0</v>
      </c>
      <c r="I354" s="76" t="b">
        <v>0</v>
      </c>
      <c r="J354" s="76" t="b">
        <v>0</v>
      </c>
      <c r="K354" s="76" t="b">
        <v>0</v>
      </c>
      <c r="L354" s="76" t="b">
        <v>0</v>
      </c>
    </row>
    <row r="355" spans="1:12" ht="15">
      <c r="A355" s="73" t="s">
        <v>642</v>
      </c>
      <c r="B355" s="76" t="s">
        <v>1593</v>
      </c>
      <c r="C355" s="76">
        <v>4</v>
      </c>
      <c r="D355" s="87">
        <v>0.011005703690980077</v>
      </c>
      <c r="E355" s="87">
        <v>1.161368002234975</v>
      </c>
      <c r="F355" s="76" t="s">
        <v>1462</v>
      </c>
      <c r="G355" s="76" t="b">
        <v>0</v>
      </c>
      <c r="H355" s="76" t="b">
        <v>0</v>
      </c>
      <c r="I355" s="76" t="b">
        <v>0</v>
      </c>
      <c r="J355" s="76" t="b">
        <v>0</v>
      </c>
      <c r="K355" s="76" t="b">
        <v>0</v>
      </c>
      <c r="L355" s="76" t="b">
        <v>0</v>
      </c>
    </row>
    <row r="356" spans="1:12" ht="15">
      <c r="A356" s="73" t="s">
        <v>1593</v>
      </c>
      <c r="B356" s="76" t="s">
        <v>1582</v>
      </c>
      <c r="C356" s="76">
        <v>4</v>
      </c>
      <c r="D356" s="87">
        <v>0.011005703690980077</v>
      </c>
      <c r="E356" s="87">
        <v>1.161368002234975</v>
      </c>
      <c r="F356" s="76" t="s">
        <v>1462</v>
      </c>
      <c r="G356" s="76" t="b">
        <v>0</v>
      </c>
      <c r="H356" s="76" t="b">
        <v>0</v>
      </c>
      <c r="I356" s="76" t="b">
        <v>0</v>
      </c>
      <c r="J356" s="76" t="b">
        <v>0</v>
      </c>
      <c r="K356" s="76" t="b">
        <v>0</v>
      </c>
      <c r="L356" s="76" t="b">
        <v>0</v>
      </c>
    </row>
    <row r="357" spans="1:12" ht="15">
      <c r="A357" s="73" t="s">
        <v>1582</v>
      </c>
      <c r="B357" s="76" t="s">
        <v>1594</v>
      </c>
      <c r="C357" s="76">
        <v>4</v>
      </c>
      <c r="D357" s="87">
        <v>0.011005703690980077</v>
      </c>
      <c r="E357" s="87">
        <v>1.161368002234975</v>
      </c>
      <c r="F357" s="76" t="s">
        <v>1462</v>
      </c>
      <c r="G357" s="76" t="b">
        <v>0</v>
      </c>
      <c r="H357" s="76" t="b">
        <v>0</v>
      </c>
      <c r="I357" s="76" t="b">
        <v>0</v>
      </c>
      <c r="J357" s="76" t="b">
        <v>0</v>
      </c>
      <c r="K357" s="76" t="b">
        <v>0</v>
      </c>
      <c r="L357" s="76" t="b">
        <v>0</v>
      </c>
    </row>
    <row r="358" spans="1:12" ht="15">
      <c r="A358" s="73" t="s">
        <v>1594</v>
      </c>
      <c r="B358" s="76" t="s">
        <v>1595</v>
      </c>
      <c r="C358" s="76">
        <v>4</v>
      </c>
      <c r="D358" s="87">
        <v>0.011005703690980077</v>
      </c>
      <c r="E358" s="87">
        <v>1.161368002234975</v>
      </c>
      <c r="F358" s="76" t="s">
        <v>1462</v>
      </c>
      <c r="G358" s="76" t="b">
        <v>0</v>
      </c>
      <c r="H358" s="76" t="b">
        <v>0</v>
      </c>
      <c r="I358" s="76" t="b">
        <v>0</v>
      </c>
      <c r="J358" s="76" t="b">
        <v>0</v>
      </c>
      <c r="K358" s="76" t="b">
        <v>0</v>
      </c>
      <c r="L358" s="76" t="b">
        <v>0</v>
      </c>
    </row>
    <row r="359" spans="1:12" ht="15">
      <c r="A359" s="73" t="s">
        <v>1595</v>
      </c>
      <c r="B359" s="76" t="s">
        <v>1596</v>
      </c>
      <c r="C359" s="76">
        <v>4</v>
      </c>
      <c r="D359" s="87">
        <v>0.011005703690980077</v>
      </c>
      <c r="E359" s="87">
        <v>1.161368002234975</v>
      </c>
      <c r="F359" s="76" t="s">
        <v>1462</v>
      </c>
      <c r="G359" s="76" t="b">
        <v>0</v>
      </c>
      <c r="H359" s="76" t="b">
        <v>0</v>
      </c>
      <c r="I359" s="76" t="b">
        <v>0</v>
      </c>
      <c r="J359" s="76" t="b">
        <v>0</v>
      </c>
      <c r="K359" s="76" t="b">
        <v>0</v>
      </c>
      <c r="L359" s="76" t="b">
        <v>0</v>
      </c>
    </row>
    <row r="360" spans="1:12" ht="15">
      <c r="A360" s="73" t="s">
        <v>1596</v>
      </c>
      <c r="B360" s="76" t="s">
        <v>1597</v>
      </c>
      <c r="C360" s="76">
        <v>4</v>
      </c>
      <c r="D360" s="87">
        <v>0.011005703690980077</v>
      </c>
      <c r="E360" s="87">
        <v>1.161368002234975</v>
      </c>
      <c r="F360" s="76" t="s">
        <v>1462</v>
      </c>
      <c r="G360" s="76" t="b">
        <v>0</v>
      </c>
      <c r="H360" s="76" t="b">
        <v>0</v>
      </c>
      <c r="I360" s="76" t="b">
        <v>0</v>
      </c>
      <c r="J360" s="76" t="b">
        <v>0</v>
      </c>
      <c r="K360" s="76" t="b">
        <v>0</v>
      </c>
      <c r="L360" s="76" t="b">
        <v>0</v>
      </c>
    </row>
    <row r="361" spans="1:12" ht="15">
      <c r="A361" s="73" t="s">
        <v>1671</v>
      </c>
      <c r="B361" s="76" t="s">
        <v>1622</v>
      </c>
      <c r="C361" s="76">
        <v>2</v>
      </c>
      <c r="D361" s="87">
        <v>0.014910039209989451</v>
      </c>
      <c r="E361" s="87">
        <v>1.462397997898956</v>
      </c>
      <c r="F361" s="76" t="s">
        <v>1462</v>
      </c>
      <c r="G361" s="76" t="b">
        <v>1</v>
      </c>
      <c r="H361" s="76" t="b">
        <v>0</v>
      </c>
      <c r="I361" s="76" t="b">
        <v>0</v>
      </c>
      <c r="J361" s="76" t="b">
        <v>0</v>
      </c>
      <c r="K361" s="76" t="b">
        <v>0</v>
      </c>
      <c r="L361" s="76" t="b">
        <v>0</v>
      </c>
    </row>
    <row r="362" spans="1:12" ht="15">
      <c r="A362" s="73" t="s">
        <v>1622</v>
      </c>
      <c r="B362" s="76" t="s">
        <v>1510</v>
      </c>
      <c r="C362" s="76">
        <v>2</v>
      </c>
      <c r="D362" s="87">
        <v>0.014910039209989451</v>
      </c>
      <c r="E362" s="87">
        <v>1.462397997898956</v>
      </c>
      <c r="F362" s="76" t="s">
        <v>1462</v>
      </c>
      <c r="G362" s="76" t="b">
        <v>0</v>
      </c>
      <c r="H362" s="76" t="b">
        <v>0</v>
      </c>
      <c r="I362" s="76" t="b">
        <v>0</v>
      </c>
      <c r="J362" s="76" t="b">
        <v>0</v>
      </c>
      <c r="K362" s="76" t="b">
        <v>0</v>
      </c>
      <c r="L362" s="76" t="b">
        <v>0</v>
      </c>
    </row>
    <row r="363" spans="1:12" ht="15">
      <c r="A363" s="73" t="s">
        <v>1510</v>
      </c>
      <c r="B363" s="76" t="s">
        <v>360</v>
      </c>
      <c r="C363" s="76">
        <v>2</v>
      </c>
      <c r="D363" s="87">
        <v>0.014910039209989451</v>
      </c>
      <c r="E363" s="87">
        <v>1.462397997898956</v>
      </c>
      <c r="F363" s="76" t="s">
        <v>1462</v>
      </c>
      <c r="G363" s="76" t="b">
        <v>0</v>
      </c>
      <c r="H363" s="76" t="b">
        <v>0</v>
      </c>
      <c r="I363" s="76" t="b">
        <v>0</v>
      </c>
      <c r="J363" s="76" t="b">
        <v>0</v>
      </c>
      <c r="K363" s="76" t="b">
        <v>0</v>
      </c>
      <c r="L363" s="76" t="b">
        <v>0</v>
      </c>
    </row>
    <row r="364" spans="1:12" ht="15">
      <c r="A364" s="73" t="s">
        <v>363</v>
      </c>
      <c r="B364" s="76" t="s">
        <v>1672</v>
      </c>
      <c r="C364" s="76">
        <v>2</v>
      </c>
      <c r="D364" s="87">
        <v>0.014910039209989451</v>
      </c>
      <c r="E364" s="87">
        <v>0.9852767431792936</v>
      </c>
      <c r="F364" s="76" t="s">
        <v>1462</v>
      </c>
      <c r="G364" s="76" t="b">
        <v>0</v>
      </c>
      <c r="H364" s="76" t="b">
        <v>0</v>
      </c>
      <c r="I364" s="76" t="b">
        <v>0</v>
      </c>
      <c r="J364" s="76" t="b">
        <v>0</v>
      </c>
      <c r="K364" s="76" t="b">
        <v>0</v>
      </c>
      <c r="L364" s="76" t="b">
        <v>0</v>
      </c>
    </row>
    <row r="365" spans="1:12" ht="15">
      <c r="A365" s="73" t="s">
        <v>1672</v>
      </c>
      <c r="B365" s="76" t="s">
        <v>1591</v>
      </c>
      <c r="C365" s="76">
        <v>2</v>
      </c>
      <c r="D365" s="87">
        <v>0.014910039209989451</v>
      </c>
      <c r="E365" s="87">
        <v>1.161368002234975</v>
      </c>
      <c r="F365" s="76" t="s">
        <v>1462</v>
      </c>
      <c r="G365" s="76" t="b">
        <v>0</v>
      </c>
      <c r="H365" s="76" t="b">
        <v>0</v>
      </c>
      <c r="I365" s="76" t="b">
        <v>0</v>
      </c>
      <c r="J365" s="76" t="b">
        <v>0</v>
      </c>
      <c r="K365" s="76" t="b">
        <v>0</v>
      </c>
      <c r="L365" s="76" t="b">
        <v>0</v>
      </c>
    </row>
    <row r="366" spans="1:12" ht="15">
      <c r="A366" s="73" t="s">
        <v>1591</v>
      </c>
      <c r="B366" s="76" t="s">
        <v>1592</v>
      </c>
      <c r="C366" s="76">
        <v>2</v>
      </c>
      <c r="D366" s="87">
        <v>0.014910039209989451</v>
      </c>
      <c r="E366" s="87">
        <v>1.161368002234975</v>
      </c>
      <c r="F366" s="76" t="s">
        <v>1462</v>
      </c>
      <c r="G366" s="76" t="b">
        <v>0</v>
      </c>
      <c r="H366" s="76" t="b">
        <v>0</v>
      </c>
      <c r="I366" s="76" t="b">
        <v>0</v>
      </c>
      <c r="J366" s="76" t="b">
        <v>0</v>
      </c>
      <c r="K366" s="76" t="b">
        <v>0</v>
      </c>
      <c r="L366" s="76" t="b">
        <v>0</v>
      </c>
    </row>
    <row r="367" spans="1:12" ht="15">
      <c r="A367" s="73" t="s">
        <v>1592</v>
      </c>
      <c r="B367" s="76" t="s">
        <v>1591</v>
      </c>
      <c r="C367" s="76">
        <v>2</v>
      </c>
      <c r="D367" s="87">
        <v>0.014910039209989451</v>
      </c>
      <c r="E367" s="87">
        <v>1.161368002234975</v>
      </c>
      <c r="F367" s="76" t="s">
        <v>1462</v>
      </c>
      <c r="G367" s="76" t="b">
        <v>0</v>
      </c>
      <c r="H367" s="76" t="b">
        <v>0</v>
      </c>
      <c r="I367" s="76" t="b">
        <v>0</v>
      </c>
      <c r="J367" s="76" t="b">
        <v>0</v>
      </c>
      <c r="K367" s="76" t="b">
        <v>0</v>
      </c>
      <c r="L367" s="76" t="b">
        <v>0</v>
      </c>
    </row>
    <row r="368" spans="1:12" ht="15">
      <c r="A368" s="73" t="s">
        <v>1591</v>
      </c>
      <c r="B368" s="76" t="s">
        <v>1673</v>
      </c>
      <c r="C368" s="76">
        <v>2</v>
      </c>
      <c r="D368" s="87">
        <v>0.014910039209989451</v>
      </c>
      <c r="E368" s="87">
        <v>1.161368002234975</v>
      </c>
      <c r="F368" s="76" t="s">
        <v>1462</v>
      </c>
      <c r="G368" s="76" t="b">
        <v>0</v>
      </c>
      <c r="H368" s="76" t="b">
        <v>0</v>
      </c>
      <c r="I368" s="76" t="b">
        <v>0</v>
      </c>
      <c r="J368" s="76" t="b">
        <v>0</v>
      </c>
      <c r="K368" s="76" t="b">
        <v>0</v>
      </c>
      <c r="L368" s="76" t="b">
        <v>0</v>
      </c>
    </row>
    <row r="369" spans="1:12" ht="15">
      <c r="A369" s="73" t="s">
        <v>1673</v>
      </c>
      <c r="B369" s="76" t="s">
        <v>642</v>
      </c>
      <c r="C369" s="76">
        <v>2</v>
      </c>
      <c r="D369" s="87">
        <v>0.014910039209989451</v>
      </c>
      <c r="E369" s="87">
        <v>0.9852767431792936</v>
      </c>
      <c r="F369" s="76" t="s">
        <v>1462</v>
      </c>
      <c r="G369" s="76" t="b">
        <v>0</v>
      </c>
      <c r="H369" s="76" t="b">
        <v>0</v>
      </c>
      <c r="I369" s="76" t="b">
        <v>0</v>
      </c>
      <c r="J369" s="76" t="b">
        <v>0</v>
      </c>
      <c r="K369" s="76" t="b">
        <v>0</v>
      </c>
      <c r="L369" s="76" t="b">
        <v>0</v>
      </c>
    </row>
    <row r="370" spans="1:12" ht="15">
      <c r="A370" s="73" t="s">
        <v>1491</v>
      </c>
      <c r="B370" s="76" t="s">
        <v>1498</v>
      </c>
      <c r="C370" s="76">
        <v>14</v>
      </c>
      <c r="D370" s="87">
        <v>0</v>
      </c>
      <c r="E370" s="87">
        <v>1.2174839442139063</v>
      </c>
      <c r="F370" s="76" t="s">
        <v>1463</v>
      </c>
      <c r="G370" s="76" t="b">
        <v>0</v>
      </c>
      <c r="H370" s="76" t="b">
        <v>0</v>
      </c>
      <c r="I370" s="76" t="b">
        <v>0</v>
      </c>
      <c r="J370" s="76" t="b">
        <v>0</v>
      </c>
      <c r="K370" s="76" t="b">
        <v>0</v>
      </c>
      <c r="L370" s="76" t="b">
        <v>0</v>
      </c>
    </row>
    <row r="371" spans="1:12" ht="15">
      <c r="A371" s="73" t="s">
        <v>1562</v>
      </c>
      <c r="B371" s="76" t="s">
        <v>1563</v>
      </c>
      <c r="C371" s="76">
        <v>7</v>
      </c>
      <c r="D371" s="87">
        <v>0</v>
      </c>
      <c r="E371" s="87">
        <v>1.5185139398778875</v>
      </c>
      <c r="F371" s="76" t="s">
        <v>1463</v>
      </c>
      <c r="G371" s="76" t="b">
        <v>0</v>
      </c>
      <c r="H371" s="76" t="b">
        <v>0</v>
      </c>
      <c r="I371" s="76" t="b">
        <v>0</v>
      </c>
      <c r="J371" s="76" t="b">
        <v>0</v>
      </c>
      <c r="K371" s="76" t="b">
        <v>0</v>
      </c>
      <c r="L371" s="76" t="b">
        <v>0</v>
      </c>
    </row>
    <row r="372" spans="1:12" ht="15">
      <c r="A372" s="73" t="s">
        <v>1563</v>
      </c>
      <c r="B372" s="76" t="s">
        <v>1564</v>
      </c>
      <c r="C372" s="76">
        <v>7</v>
      </c>
      <c r="D372" s="87">
        <v>0</v>
      </c>
      <c r="E372" s="87">
        <v>1.5185139398778875</v>
      </c>
      <c r="F372" s="76" t="s">
        <v>1463</v>
      </c>
      <c r="G372" s="76" t="b">
        <v>0</v>
      </c>
      <c r="H372" s="76" t="b">
        <v>0</v>
      </c>
      <c r="I372" s="76" t="b">
        <v>0</v>
      </c>
      <c r="J372" s="76" t="b">
        <v>0</v>
      </c>
      <c r="K372" s="76" t="b">
        <v>0</v>
      </c>
      <c r="L372" s="76" t="b">
        <v>0</v>
      </c>
    </row>
    <row r="373" spans="1:12" ht="15">
      <c r="A373" s="73" t="s">
        <v>1564</v>
      </c>
      <c r="B373" s="76" t="s">
        <v>1565</v>
      </c>
      <c r="C373" s="76">
        <v>7</v>
      </c>
      <c r="D373" s="87">
        <v>0</v>
      </c>
      <c r="E373" s="87">
        <v>1.5185139398778875</v>
      </c>
      <c r="F373" s="76" t="s">
        <v>1463</v>
      </c>
      <c r="G373" s="76" t="b">
        <v>0</v>
      </c>
      <c r="H373" s="76" t="b">
        <v>0</v>
      </c>
      <c r="I373" s="76" t="b">
        <v>0</v>
      </c>
      <c r="J373" s="76" t="b">
        <v>0</v>
      </c>
      <c r="K373" s="76" t="b">
        <v>0</v>
      </c>
      <c r="L373" s="76" t="b">
        <v>0</v>
      </c>
    </row>
    <row r="374" spans="1:12" ht="15">
      <c r="A374" s="73" t="s">
        <v>1565</v>
      </c>
      <c r="B374" s="76" t="s">
        <v>1566</v>
      </c>
      <c r="C374" s="76">
        <v>7</v>
      </c>
      <c r="D374" s="87">
        <v>0</v>
      </c>
      <c r="E374" s="87">
        <v>1.5185139398778875</v>
      </c>
      <c r="F374" s="76" t="s">
        <v>1463</v>
      </c>
      <c r="G374" s="76" t="b">
        <v>0</v>
      </c>
      <c r="H374" s="76" t="b">
        <v>0</v>
      </c>
      <c r="I374" s="76" t="b">
        <v>0</v>
      </c>
      <c r="J374" s="76" t="b">
        <v>0</v>
      </c>
      <c r="K374" s="76" t="b">
        <v>0</v>
      </c>
      <c r="L374" s="76" t="b">
        <v>0</v>
      </c>
    </row>
    <row r="375" spans="1:12" ht="15">
      <c r="A375" s="73" t="s">
        <v>1566</v>
      </c>
      <c r="B375" s="76" t="s">
        <v>1567</v>
      </c>
      <c r="C375" s="76">
        <v>7</v>
      </c>
      <c r="D375" s="87">
        <v>0</v>
      </c>
      <c r="E375" s="87">
        <v>1.5185139398778875</v>
      </c>
      <c r="F375" s="76" t="s">
        <v>1463</v>
      </c>
      <c r="G375" s="76" t="b">
        <v>0</v>
      </c>
      <c r="H375" s="76" t="b">
        <v>0</v>
      </c>
      <c r="I375" s="76" t="b">
        <v>0</v>
      </c>
      <c r="J375" s="76" t="b">
        <v>0</v>
      </c>
      <c r="K375" s="76" t="b">
        <v>0</v>
      </c>
      <c r="L375" s="76" t="b">
        <v>0</v>
      </c>
    </row>
    <row r="376" spans="1:12" ht="15">
      <c r="A376" s="73" t="s">
        <v>1567</v>
      </c>
      <c r="B376" s="76" t="s">
        <v>1491</v>
      </c>
      <c r="C376" s="76">
        <v>7</v>
      </c>
      <c r="D376" s="87">
        <v>0</v>
      </c>
      <c r="E376" s="87">
        <v>1.2174839442139063</v>
      </c>
      <c r="F376" s="76" t="s">
        <v>1463</v>
      </c>
      <c r="G376" s="76" t="b">
        <v>0</v>
      </c>
      <c r="H376" s="76" t="b">
        <v>0</v>
      </c>
      <c r="I376" s="76" t="b">
        <v>0</v>
      </c>
      <c r="J376" s="76" t="b">
        <v>0</v>
      </c>
      <c r="K376" s="76" t="b">
        <v>0</v>
      </c>
      <c r="L376" s="76" t="b">
        <v>0</v>
      </c>
    </row>
    <row r="377" spans="1:12" ht="15">
      <c r="A377" s="73" t="s">
        <v>1498</v>
      </c>
      <c r="B377" s="76" t="s">
        <v>1568</v>
      </c>
      <c r="C377" s="76">
        <v>7</v>
      </c>
      <c r="D377" s="87">
        <v>0</v>
      </c>
      <c r="E377" s="87">
        <v>1.2174839442139063</v>
      </c>
      <c r="F377" s="76" t="s">
        <v>1463</v>
      </c>
      <c r="G377" s="76" t="b">
        <v>0</v>
      </c>
      <c r="H377" s="76" t="b">
        <v>0</v>
      </c>
      <c r="I377" s="76" t="b">
        <v>0</v>
      </c>
      <c r="J377" s="76" t="b">
        <v>0</v>
      </c>
      <c r="K377" s="76" t="b">
        <v>0</v>
      </c>
      <c r="L377" s="76" t="b">
        <v>0</v>
      </c>
    </row>
    <row r="378" spans="1:12" ht="15">
      <c r="A378" s="73" t="s">
        <v>1568</v>
      </c>
      <c r="B378" s="76" t="s">
        <v>1569</v>
      </c>
      <c r="C378" s="76">
        <v>7</v>
      </c>
      <c r="D378" s="87">
        <v>0</v>
      </c>
      <c r="E378" s="87">
        <v>1.5185139398778875</v>
      </c>
      <c r="F378" s="76" t="s">
        <v>1463</v>
      </c>
      <c r="G378" s="76" t="b">
        <v>0</v>
      </c>
      <c r="H378" s="76" t="b">
        <v>0</v>
      </c>
      <c r="I378" s="76" t="b">
        <v>0</v>
      </c>
      <c r="J378" s="76" t="b">
        <v>0</v>
      </c>
      <c r="K378" s="76" t="b">
        <v>0</v>
      </c>
      <c r="L378" s="76" t="b">
        <v>0</v>
      </c>
    </row>
    <row r="379" spans="1:12" ht="15">
      <c r="A379" s="73" t="s">
        <v>1569</v>
      </c>
      <c r="B379" s="76" t="s">
        <v>1499</v>
      </c>
      <c r="C379" s="76">
        <v>7</v>
      </c>
      <c r="D379" s="87">
        <v>0</v>
      </c>
      <c r="E379" s="87">
        <v>1.5185139398778875</v>
      </c>
      <c r="F379" s="76" t="s">
        <v>1463</v>
      </c>
      <c r="G379" s="76" t="b">
        <v>0</v>
      </c>
      <c r="H379" s="76" t="b">
        <v>0</v>
      </c>
      <c r="I379" s="76" t="b">
        <v>0</v>
      </c>
      <c r="J379" s="76" t="b">
        <v>0</v>
      </c>
      <c r="K379" s="76" t="b">
        <v>0</v>
      </c>
      <c r="L379" s="76" t="b">
        <v>0</v>
      </c>
    </row>
    <row r="380" spans="1:12" ht="15">
      <c r="A380" s="73" t="s">
        <v>1499</v>
      </c>
      <c r="B380" s="76" t="s">
        <v>1570</v>
      </c>
      <c r="C380" s="76">
        <v>7</v>
      </c>
      <c r="D380" s="87">
        <v>0</v>
      </c>
      <c r="E380" s="87">
        <v>1.5185139398778875</v>
      </c>
      <c r="F380" s="76" t="s">
        <v>1463</v>
      </c>
      <c r="G380" s="76" t="b">
        <v>0</v>
      </c>
      <c r="H380" s="76" t="b">
        <v>0</v>
      </c>
      <c r="I380" s="76" t="b">
        <v>0</v>
      </c>
      <c r="J380" s="76" t="b">
        <v>0</v>
      </c>
      <c r="K380" s="76" t="b">
        <v>0</v>
      </c>
      <c r="L380" s="76" t="b">
        <v>0</v>
      </c>
    </row>
    <row r="381" spans="1:12" ht="15">
      <c r="A381" s="73" t="s">
        <v>1570</v>
      </c>
      <c r="B381" s="76" t="s">
        <v>1526</v>
      </c>
      <c r="C381" s="76">
        <v>7</v>
      </c>
      <c r="D381" s="87">
        <v>0</v>
      </c>
      <c r="E381" s="87">
        <v>1.2174839442139063</v>
      </c>
      <c r="F381" s="76" t="s">
        <v>1463</v>
      </c>
      <c r="G381" s="76" t="b">
        <v>0</v>
      </c>
      <c r="H381" s="76" t="b">
        <v>0</v>
      </c>
      <c r="I381" s="76" t="b">
        <v>0</v>
      </c>
      <c r="J381" s="76" t="b">
        <v>0</v>
      </c>
      <c r="K381" s="76" t="b">
        <v>0</v>
      </c>
      <c r="L381" s="76" t="b">
        <v>0</v>
      </c>
    </row>
    <row r="382" spans="1:12" ht="15">
      <c r="A382" s="73" t="s">
        <v>1526</v>
      </c>
      <c r="B382" s="76" t="s">
        <v>1554</v>
      </c>
      <c r="C382" s="76">
        <v>7</v>
      </c>
      <c r="D382" s="87">
        <v>0</v>
      </c>
      <c r="E382" s="87">
        <v>1.2174839442139063</v>
      </c>
      <c r="F382" s="76" t="s">
        <v>1463</v>
      </c>
      <c r="G382" s="76" t="b">
        <v>0</v>
      </c>
      <c r="H382" s="76" t="b">
        <v>0</v>
      </c>
      <c r="I382" s="76" t="b">
        <v>0</v>
      </c>
      <c r="J382" s="76" t="b">
        <v>0</v>
      </c>
      <c r="K382" s="76" t="b">
        <v>0</v>
      </c>
      <c r="L382" s="76" t="b">
        <v>0</v>
      </c>
    </row>
    <row r="383" spans="1:12" ht="15">
      <c r="A383" s="73" t="s">
        <v>1554</v>
      </c>
      <c r="B383" s="76" t="s">
        <v>1571</v>
      </c>
      <c r="C383" s="76">
        <v>7</v>
      </c>
      <c r="D383" s="87">
        <v>0</v>
      </c>
      <c r="E383" s="87">
        <v>1.5185139398778875</v>
      </c>
      <c r="F383" s="76" t="s">
        <v>1463</v>
      </c>
      <c r="G383" s="76" t="b">
        <v>0</v>
      </c>
      <c r="H383" s="76" t="b">
        <v>0</v>
      </c>
      <c r="I383" s="76" t="b">
        <v>0</v>
      </c>
      <c r="J383" s="76" t="b">
        <v>0</v>
      </c>
      <c r="K383" s="76" t="b">
        <v>0</v>
      </c>
      <c r="L383" s="76" t="b">
        <v>0</v>
      </c>
    </row>
    <row r="384" spans="1:12" ht="15">
      <c r="A384" s="73" t="s">
        <v>1571</v>
      </c>
      <c r="B384" s="76" t="s">
        <v>1526</v>
      </c>
      <c r="C384" s="76">
        <v>7</v>
      </c>
      <c r="D384" s="87">
        <v>0</v>
      </c>
      <c r="E384" s="87">
        <v>1.2174839442139063</v>
      </c>
      <c r="F384" s="76" t="s">
        <v>1463</v>
      </c>
      <c r="G384" s="76" t="b">
        <v>0</v>
      </c>
      <c r="H384" s="76" t="b">
        <v>0</v>
      </c>
      <c r="I384" s="76" t="b">
        <v>0</v>
      </c>
      <c r="J384" s="76" t="b">
        <v>0</v>
      </c>
      <c r="K384" s="76" t="b">
        <v>0</v>
      </c>
      <c r="L384" s="76" t="b">
        <v>0</v>
      </c>
    </row>
    <row r="385" spans="1:12" ht="15">
      <c r="A385" s="73" t="s">
        <v>1526</v>
      </c>
      <c r="B385" s="76" t="s">
        <v>1572</v>
      </c>
      <c r="C385" s="76">
        <v>7</v>
      </c>
      <c r="D385" s="87">
        <v>0</v>
      </c>
      <c r="E385" s="87">
        <v>1.2174839442139063</v>
      </c>
      <c r="F385" s="76" t="s">
        <v>1463</v>
      </c>
      <c r="G385" s="76" t="b">
        <v>0</v>
      </c>
      <c r="H385" s="76" t="b">
        <v>0</v>
      </c>
      <c r="I385" s="76" t="b">
        <v>0</v>
      </c>
      <c r="J385" s="76" t="b">
        <v>0</v>
      </c>
      <c r="K385" s="76" t="b">
        <v>0</v>
      </c>
      <c r="L385" s="76" t="b">
        <v>0</v>
      </c>
    </row>
    <row r="386" spans="1:12" ht="15">
      <c r="A386" s="73" t="s">
        <v>1572</v>
      </c>
      <c r="B386" s="76" t="s">
        <v>1573</v>
      </c>
      <c r="C386" s="76">
        <v>7</v>
      </c>
      <c r="D386" s="87">
        <v>0</v>
      </c>
      <c r="E386" s="87">
        <v>1.5185139398778875</v>
      </c>
      <c r="F386" s="76" t="s">
        <v>1463</v>
      </c>
      <c r="G386" s="76" t="b">
        <v>0</v>
      </c>
      <c r="H386" s="76" t="b">
        <v>0</v>
      </c>
      <c r="I386" s="76" t="b">
        <v>0</v>
      </c>
      <c r="J386" s="76" t="b">
        <v>0</v>
      </c>
      <c r="K386" s="76" t="b">
        <v>0</v>
      </c>
      <c r="L386" s="76" t="b">
        <v>0</v>
      </c>
    </row>
    <row r="387" spans="1:12" ht="15">
      <c r="A387" s="73" t="s">
        <v>1573</v>
      </c>
      <c r="B387" s="76" t="s">
        <v>1574</v>
      </c>
      <c r="C387" s="76">
        <v>7</v>
      </c>
      <c r="D387" s="87">
        <v>0</v>
      </c>
      <c r="E387" s="87">
        <v>1.5185139398778875</v>
      </c>
      <c r="F387" s="76" t="s">
        <v>1463</v>
      </c>
      <c r="G387" s="76" t="b">
        <v>0</v>
      </c>
      <c r="H387" s="76" t="b">
        <v>0</v>
      </c>
      <c r="I387" s="76" t="b">
        <v>0</v>
      </c>
      <c r="J387" s="76" t="b">
        <v>0</v>
      </c>
      <c r="K387" s="76" t="b">
        <v>0</v>
      </c>
      <c r="L387" s="76" t="b">
        <v>0</v>
      </c>
    </row>
    <row r="388" spans="1:12" ht="15">
      <c r="A388" s="73" t="s">
        <v>1574</v>
      </c>
      <c r="B388" s="76" t="s">
        <v>373</v>
      </c>
      <c r="C388" s="76">
        <v>7</v>
      </c>
      <c r="D388" s="87">
        <v>0</v>
      </c>
      <c r="E388" s="87">
        <v>1.5185139398778875</v>
      </c>
      <c r="F388" s="76" t="s">
        <v>1463</v>
      </c>
      <c r="G388" s="76" t="b">
        <v>0</v>
      </c>
      <c r="H388" s="76" t="b">
        <v>0</v>
      </c>
      <c r="I388" s="76" t="b">
        <v>0</v>
      </c>
      <c r="J388" s="76" t="b">
        <v>0</v>
      </c>
      <c r="K388" s="76" t="b">
        <v>0</v>
      </c>
      <c r="L388" s="76" t="b">
        <v>0</v>
      </c>
    </row>
    <row r="389" spans="1:12" ht="15">
      <c r="A389" s="73" t="s">
        <v>373</v>
      </c>
      <c r="B389" s="76" t="s">
        <v>1575</v>
      </c>
      <c r="C389" s="76">
        <v>7</v>
      </c>
      <c r="D389" s="87">
        <v>0</v>
      </c>
      <c r="E389" s="87">
        <v>1.5185139398778875</v>
      </c>
      <c r="F389" s="76" t="s">
        <v>1463</v>
      </c>
      <c r="G389" s="76" t="b">
        <v>0</v>
      </c>
      <c r="H389" s="76" t="b">
        <v>0</v>
      </c>
      <c r="I389" s="76" t="b">
        <v>0</v>
      </c>
      <c r="J389" s="76" t="b">
        <v>0</v>
      </c>
      <c r="K389" s="76" t="b">
        <v>0</v>
      </c>
      <c r="L389" s="76" t="b">
        <v>0</v>
      </c>
    </row>
    <row r="390" spans="1:12" ht="15">
      <c r="A390" s="73" t="s">
        <v>1575</v>
      </c>
      <c r="B390" s="76" t="s">
        <v>1576</v>
      </c>
      <c r="C390" s="76">
        <v>7</v>
      </c>
      <c r="D390" s="87">
        <v>0</v>
      </c>
      <c r="E390" s="87">
        <v>1.5185139398778875</v>
      </c>
      <c r="F390" s="76" t="s">
        <v>1463</v>
      </c>
      <c r="G390" s="76" t="b">
        <v>0</v>
      </c>
      <c r="H390" s="76" t="b">
        <v>0</v>
      </c>
      <c r="I390" s="76" t="b">
        <v>0</v>
      </c>
      <c r="J390" s="76" t="b">
        <v>0</v>
      </c>
      <c r="K390" s="76" t="b">
        <v>0</v>
      </c>
      <c r="L390" s="76" t="b">
        <v>0</v>
      </c>
    </row>
    <row r="391" spans="1:12" ht="15">
      <c r="A391" s="73" t="s">
        <v>1576</v>
      </c>
      <c r="B391" s="76" t="s">
        <v>1577</v>
      </c>
      <c r="C391" s="76">
        <v>7</v>
      </c>
      <c r="D391" s="87">
        <v>0</v>
      </c>
      <c r="E391" s="87">
        <v>1.5185139398778875</v>
      </c>
      <c r="F391" s="76" t="s">
        <v>1463</v>
      </c>
      <c r="G391" s="76" t="b">
        <v>0</v>
      </c>
      <c r="H391" s="76" t="b">
        <v>0</v>
      </c>
      <c r="I391" s="76" t="b">
        <v>0</v>
      </c>
      <c r="J391" s="76" t="b">
        <v>0</v>
      </c>
      <c r="K391" s="76" t="b">
        <v>0</v>
      </c>
      <c r="L391" s="76" t="b">
        <v>0</v>
      </c>
    </row>
    <row r="392" spans="1:12" ht="15">
      <c r="A392" s="73" t="s">
        <v>1577</v>
      </c>
      <c r="B392" s="76" t="s">
        <v>1503</v>
      </c>
      <c r="C392" s="76">
        <v>7</v>
      </c>
      <c r="D392" s="87">
        <v>0</v>
      </c>
      <c r="E392" s="87">
        <v>1.5185139398778875</v>
      </c>
      <c r="F392" s="76" t="s">
        <v>1463</v>
      </c>
      <c r="G392" s="76" t="b">
        <v>0</v>
      </c>
      <c r="H392" s="76" t="b">
        <v>0</v>
      </c>
      <c r="I392" s="76" t="b">
        <v>0</v>
      </c>
      <c r="J392" s="76" t="b">
        <v>0</v>
      </c>
      <c r="K392" s="76" t="b">
        <v>0</v>
      </c>
      <c r="L392" s="76" t="b">
        <v>0</v>
      </c>
    </row>
    <row r="393" spans="1:12" ht="15">
      <c r="A393" s="73" t="s">
        <v>1503</v>
      </c>
      <c r="B393" s="76" t="s">
        <v>360</v>
      </c>
      <c r="C393" s="76">
        <v>7</v>
      </c>
      <c r="D393" s="87">
        <v>0</v>
      </c>
      <c r="E393" s="87">
        <v>1.5185139398778875</v>
      </c>
      <c r="F393" s="76" t="s">
        <v>1463</v>
      </c>
      <c r="G393" s="76" t="b">
        <v>0</v>
      </c>
      <c r="H393" s="76" t="b">
        <v>0</v>
      </c>
      <c r="I393" s="76" t="b">
        <v>0</v>
      </c>
      <c r="J393" s="76" t="b">
        <v>0</v>
      </c>
      <c r="K393" s="76" t="b">
        <v>0</v>
      </c>
      <c r="L393" s="76" t="b">
        <v>0</v>
      </c>
    </row>
    <row r="394" spans="1:12" ht="15">
      <c r="A394" s="73" t="s">
        <v>360</v>
      </c>
      <c r="B394" s="76" t="s">
        <v>362</v>
      </c>
      <c r="C394" s="76">
        <v>7</v>
      </c>
      <c r="D394" s="87">
        <v>0</v>
      </c>
      <c r="E394" s="87">
        <v>1.5185139398778875</v>
      </c>
      <c r="F394" s="76" t="s">
        <v>1463</v>
      </c>
      <c r="G394" s="76" t="b">
        <v>0</v>
      </c>
      <c r="H394" s="76" t="b">
        <v>0</v>
      </c>
      <c r="I394" s="76" t="b">
        <v>0</v>
      </c>
      <c r="J394" s="76" t="b">
        <v>0</v>
      </c>
      <c r="K394" s="76" t="b">
        <v>0</v>
      </c>
      <c r="L394" s="76" t="b">
        <v>0</v>
      </c>
    </row>
    <row r="395" spans="1:12" ht="15">
      <c r="A395" s="73" t="s">
        <v>362</v>
      </c>
      <c r="B395" s="76" t="s">
        <v>1552</v>
      </c>
      <c r="C395" s="76">
        <v>7</v>
      </c>
      <c r="D395" s="87">
        <v>0</v>
      </c>
      <c r="E395" s="87">
        <v>1.5185139398778875</v>
      </c>
      <c r="F395" s="76" t="s">
        <v>1463</v>
      </c>
      <c r="G395" s="76" t="b">
        <v>0</v>
      </c>
      <c r="H395" s="76" t="b">
        <v>0</v>
      </c>
      <c r="I395" s="76" t="b">
        <v>0</v>
      </c>
      <c r="J395" s="76" t="b">
        <v>0</v>
      </c>
      <c r="K395" s="76" t="b">
        <v>0</v>
      </c>
      <c r="L395" s="76" t="b">
        <v>0</v>
      </c>
    </row>
    <row r="396" spans="1:12" ht="15">
      <c r="A396" s="73" t="s">
        <v>1552</v>
      </c>
      <c r="B396" s="76" t="s">
        <v>1578</v>
      </c>
      <c r="C396" s="76">
        <v>7</v>
      </c>
      <c r="D396" s="87">
        <v>0</v>
      </c>
      <c r="E396" s="87">
        <v>1.5185139398778875</v>
      </c>
      <c r="F396" s="76" t="s">
        <v>1463</v>
      </c>
      <c r="G396" s="76" t="b">
        <v>0</v>
      </c>
      <c r="H396" s="76" t="b">
        <v>0</v>
      </c>
      <c r="I396" s="76" t="b">
        <v>0</v>
      </c>
      <c r="J396" s="76" t="b">
        <v>0</v>
      </c>
      <c r="K396" s="76" t="b">
        <v>0</v>
      </c>
      <c r="L396" s="76" t="b">
        <v>0</v>
      </c>
    </row>
    <row r="397" spans="1:12" ht="15">
      <c r="A397" s="73" t="s">
        <v>1578</v>
      </c>
      <c r="B397" s="76" t="s">
        <v>1550</v>
      </c>
      <c r="C397" s="76">
        <v>7</v>
      </c>
      <c r="D397" s="87">
        <v>0</v>
      </c>
      <c r="E397" s="87">
        <v>1.5185139398778875</v>
      </c>
      <c r="F397" s="76" t="s">
        <v>1463</v>
      </c>
      <c r="G397" s="76" t="b">
        <v>0</v>
      </c>
      <c r="H397" s="76" t="b">
        <v>0</v>
      </c>
      <c r="I397" s="76" t="b">
        <v>0</v>
      </c>
      <c r="J397" s="76" t="b">
        <v>0</v>
      </c>
      <c r="K397" s="76" t="b">
        <v>0</v>
      </c>
      <c r="L397" s="76" t="b">
        <v>0</v>
      </c>
    </row>
    <row r="398" spans="1:12" ht="15">
      <c r="A398" s="73" t="s">
        <v>1550</v>
      </c>
      <c r="B398" s="76" t="s">
        <v>1491</v>
      </c>
      <c r="C398" s="76">
        <v>7</v>
      </c>
      <c r="D398" s="87">
        <v>0</v>
      </c>
      <c r="E398" s="87">
        <v>1.2174839442139063</v>
      </c>
      <c r="F398" s="76" t="s">
        <v>1463</v>
      </c>
      <c r="G398" s="76" t="b">
        <v>0</v>
      </c>
      <c r="H398" s="76" t="b">
        <v>0</v>
      </c>
      <c r="I398" s="76" t="b">
        <v>0</v>
      </c>
      <c r="J398" s="76" t="b">
        <v>0</v>
      </c>
      <c r="K398" s="76" t="b">
        <v>0</v>
      </c>
      <c r="L398" s="76" t="b">
        <v>0</v>
      </c>
    </row>
    <row r="399" spans="1:12" ht="15">
      <c r="A399" s="73" t="s">
        <v>1498</v>
      </c>
      <c r="B399" s="76" t="s">
        <v>1556</v>
      </c>
      <c r="C399" s="76">
        <v>7</v>
      </c>
      <c r="D399" s="87">
        <v>0</v>
      </c>
      <c r="E399" s="87">
        <v>1.2174839442139063</v>
      </c>
      <c r="F399" s="76" t="s">
        <v>1463</v>
      </c>
      <c r="G399" s="76" t="b">
        <v>0</v>
      </c>
      <c r="H399" s="76" t="b">
        <v>0</v>
      </c>
      <c r="I399" s="76" t="b">
        <v>0</v>
      </c>
      <c r="J399" s="76" t="b">
        <v>0</v>
      </c>
      <c r="K399" s="76" t="b">
        <v>0</v>
      </c>
      <c r="L399" s="76" t="b">
        <v>0</v>
      </c>
    </row>
    <row r="400" spans="1:12" ht="15">
      <c r="A400" s="73" t="s">
        <v>1556</v>
      </c>
      <c r="B400" s="76" t="s">
        <v>363</v>
      </c>
      <c r="C400" s="76">
        <v>7</v>
      </c>
      <c r="D400" s="87">
        <v>0</v>
      </c>
      <c r="E400" s="87">
        <v>1.5185139398778875</v>
      </c>
      <c r="F400" s="76" t="s">
        <v>1463</v>
      </c>
      <c r="G400" s="76" t="b">
        <v>0</v>
      </c>
      <c r="H400" s="76" t="b">
        <v>0</v>
      </c>
      <c r="I400" s="76" t="b">
        <v>0</v>
      </c>
      <c r="J400" s="76" t="b">
        <v>0</v>
      </c>
      <c r="K400" s="76" t="b">
        <v>0</v>
      </c>
      <c r="L400" s="76" t="b">
        <v>0</v>
      </c>
    </row>
    <row r="401" spans="1:12" ht="15">
      <c r="A401" s="73" t="s">
        <v>363</v>
      </c>
      <c r="B401" s="76" t="s">
        <v>1579</v>
      </c>
      <c r="C401" s="76">
        <v>7</v>
      </c>
      <c r="D401" s="87">
        <v>0</v>
      </c>
      <c r="E401" s="87">
        <v>1.5185139398778875</v>
      </c>
      <c r="F401" s="76" t="s">
        <v>1463</v>
      </c>
      <c r="G401" s="76" t="b">
        <v>0</v>
      </c>
      <c r="H401" s="76" t="b">
        <v>0</v>
      </c>
      <c r="I401" s="76" t="b">
        <v>0</v>
      </c>
      <c r="J401" s="76" t="b">
        <v>0</v>
      </c>
      <c r="K401" s="76" t="b">
        <v>0</v>
      </c>
      <c r="L401" s="76" t="b">
        <v>0</v>
      </c>
    </row>
    <row r="402" spans="1:12" ht="15">
      <c r="A402" s="73" t="s">
        <v>1555</v>
      </c>
      <c r="B402" s="76" t="s">
        <v>1557</v>
      </c>
      <c r="C402" s="76">
        <v>7</v>
      </c>
      <c r="D402" s="87">
        <v>0</v>
      </c>
      <c r="E402" s="87">
        <v>1.1505371545832932</v>
      </c>
      <c r="F402" s="76" t="s">
        <v>1464</v>
      </c>
      <c r="G402" s="76" t="b">
        <v>1</v>
      </c>
      <c r="H402" s="76" t="b">
        <v>0</v>
      </c>
      <c r="I402" s="76" t="b">
        <v>0</v>
      </c>
      <c r="J402" s="76" t="b">
        <v>0</v>
      </c>
      <c r="K402" s="76" t="b">
        <v>0</v>
      </c>
      <c r="L402" s="76" t="b">
        <v>0</v>
      </c>
    </row>
    <row r="403" spans="1:12" ht="15">
      <c r="A403" s="73" t="s">
        <v>1557</v>
      </c>
      <c r="B403" s="76" t="s">
        <v>1558</v>
      </c>
      <c r="C403" s="76">
        <v>7</v>
      </c>
      <c r="D403" s="87">
        <v>0</v>
      </c>
      <c r="E403" s="87">
        <v>1.1505371545832932</v>
      </c>
      <c r="F403" s="76" t="s">
        <v>1464</v>
      </c>
      <c r="G403" s="76" t="b">
        <v>0</v>
      </c>
      <c r="H403" s="76" t="b">
        <v>0</v>
      </c>
      <c r="I403" s="76" t="b">
        <v>0</v>
      </c>
      <c r="J403" s="76" t="b">
        <v>0</v>
      </c>
      <c r="K403" s="76" t="b">
        <v>0</v>
      </c>
      <c r="L403" s="76" t="b">
        <v>0</v>
      </c>
    </row>
    <row r="404" spans="1:12" ht="15">
      <c r="A404" s="73" t="s">
        <v>1558</v>
      </c>
      <c r="B404" s="76" t="s">
        <v>1559</v>
      </c>
      <c r="C404" s="76">
        <v>7</v>
      </c>
      <c r="D404" s="87">
        <v>0</v>
      </c>
      <c r="E404" s="87">
        <v>1.1505371545832932</v>
      </c>
      <c r="F404" s="76" t="s">
        <v>1464</v>
      </c>
      <c r="G404" s="76" t="b">
        <v>0</v>
      </c>
      <c r="H404" s="76" t="b">
        <v>0</v>
      </c>
      <c r="I404" s="76" t="b">
        <v>0</v>
      </c>
      <c r="J404" s="76" t="b">
        <v>0</v>
      </c>
      <c r="K404" s="76" t="b">
        <v>0</v>
      </c>
      <c r="L404" s="76" t="b">
        <v>0</v>
      </c>
    </row>
    <row r="405" spans="1:12" ht="15">
      <c r="A405" s="73" t="s">
        <v>1559</v>
      </c>
      <c r="B405" s="76" t="s">
        <v>370</v>
      </c>
      <c r="C405" s="76">
        <v>7</v>
      </c>
      <c r="D405" s="87">
        <v>0</v>
      </c>
      <c r="E405" s="87">
        <v>1.1505371545832932</v>
      </c>
      <c r="F405" s="76" t="s">
        <v>1464</v>
      </c>
      <c r="G405" s="76" t="b">
        <v>0</v>
      </c>
      <c r="H405" s="76" t="b">
        <v>0</v>
      </c>
      <c r="I405" s="76" t="b">
        <v>0</v>
      </c>
      <c r="J405" s="76" t="b">
        <v>0</v>
      </c>
      <c r="K405" s="76" t="b">
        <v>0</v>
      </c>
      <c r="L405" s="76" t="b">
        <v>0</v>
      </c>
    </row>
    <row r="406" spans="1:12" ht="15">
      <c r="A406" s="73" t="s">
        <v>370</v>
      </c>
      <c r="B406" s="76" t="s">
        <v>360</v>
      </c>
      <c r="C406" s="76">
        <v>7</v>
      </c>
      <c r="D406" s="87">
        <v>0</v>
      </c>
      <c r="E406" s="87">
        <v>1.1505371545832932</v>
      </c>
      <c r="F406" s="76" t="s">
        <v>1464</v>
      </c>
      <c r="G406" s="76" t="b">
        <v>0</v>
      </c>
      <c r="H406" s="76" t="b">
        <v>0</v>
      </c>
      <c r="I406" s="76" t="b">
        <v>0</v>
      </c>
      <c r="J406" s="76" t="b">
        <v>0</v>
      </c>
      <c r="K406" s="76" t="b">
        <v>0</v>
      </c>
      <c r="L406" s="76" t="b">
        <v>0</v>
      </c>
    </row>
    <row r="407" spans="1:12" ht="15">
      <c r="A407" s="73" t="s">
        <v>360</v>
      </c>
      <c r="B407" s="76" t="s">
        <v>368</v>
      </c>
      <c r="C407" s="76">
        <v>7</v>
      </c>
      <c r="D407" s="87">
        <v>0</v>
      </c>
      <c r="E407" s="87">
        <v>1.1505371545832932</v>
      </c>
      <c r="F407" s="76" t="s">
        <v>1464</v>
      </c>
      <c r="G407" s="76" t="b">
        <v>0</v>
      </c>
      <c r="H407" s="76" t="b">
        <v>0</v>
      </c>
      <c r="I407" s="76" t="b">
        <v>0</v>
      </c>
      <c r="J407" s="76" t="b">
        <v>0</v>
      </c>
      <c r="K407" s="76" t="b">
        <v>0</v>
      </c>
      <c r="L407" s="76" t="b">
        <v>0</v>
      </c>
    </row>
    <row r="408" spans="1:12" ht="15">
      <c r="A408" s="73" t="s">
        <v>1560</v>
      </c>
      <c r="B408" s="76" t="s">
        <v>1561</v>
      </c>
      <c r="C408" s="76">
        <v>7</v>
      </c>
      <c r="D408" s="87">
        <v>0</v>
      </c>
      <c r="E408" s="87">
        <v>1.1505371545832932</v>
      </c>
      <c r="F408" s="76" t="s">
        <v>1464</v>
      </c>
      <c r="G408" s="76" t="b">
        <v>0</v>
      </c>
      <c r="H408" s="76" t="b">
        <v>0</v>
      </c>
      <c r="I408" s="76" t="b">
        <v>0</v>
      </c>
      <c r="J408" s="76" t="b">
        <v>0</v>
      </c>
      <c r="K408" s="76" t="b">
        <v>0</v>
      </c>
      <c r="L408" s="76" t="b">
        <v>0</v>
      </c>
    </row>
    <row r="409" spans="1:12" ht="15">
      <c r="A409" s="73" t="s">
        <v>1583</v>
      </c>
      <c r="B409" s="76" t="s">
        <v>1555</v>
      </c>
      <c r="C409" s="76">
        <v>5</v>
      </c>
      <c r="D409" s="87">
        <v>0.006892831871615001</v>
      </c>
      <c r="E409" s="87">
        <v>1.2966651902615312</v>
      </c>
      <c r="F409" s="76" t="s">
        <v>1464</v>
      </c>
      <c r="G409" s="76" t="b">
        <v>0</v>
      </c>
      <c r="H409" s="76" t="b">
        <v>0</v>
      </c>
      <c r="I409" s="76" t="b">
        <v>0</v>
      </c>
      <c r="J409" s="76" t="b">
        <v>1</v>
      </c>
      <c r="K409" s="76" t="b">
        <v>0</v>
      </c>
      <c r="L409" s="76" t="b">
        <v>0</v>
      </c>
    </row>
    <row r="410" spans="1:12" ht="15">
      <c r="A410" s="73" t="s">
        <v>368</v>
      </c>
      <c r="B410" s="76" t="s">
        <v>1584</v>
      </c>
      <c r="C410" s="76">
        <v>5</v>
      </c>
      <c r="D410" s="87">
        <v>0.006892831871615001</v>
      </c>
      <c r="E410" s="87">
        <v>1.1505371545832932</v>
      </c>
      <c r="F410" s="76" t="s">
        <v>1464</v>
      </c>
      <c r="G410" s="76" t="b">
        <v>0</v>
      </c>
      <c r="H410" s="76" t="b">
        <v>0</v>
      </c>
      <c r="I410" s="76" t="b">
        <v>0</v>
      </c>
      <c r="J410" s="76" t="b">
        <v>0</v>
      </c>
      <c r="K410" s="76" t="b">
        <v>0</v>
      </c>
      <c r="L410" s="76" t="b">
        <v>0</v>
      </c>
    </row>
    <row r="411" spans="1:12" ht="15">
      <c r="A411" s="73" t="s">
        <v>1584</v>
      </c>
      <c r="B411" s="76" t="s">
        <v>1585</v>
      </c>
      <c r="C411" s="76">
        <v>5</v>
      </c>
      <c r="D411" s="87">
        <v>0.006892831871615001</v>
      </c>
      <c r="E411" s="87">
        <v>1.2966651902615312</v>
      </c>
      <c r="F411" s="76" t="s">
        <v>1464</v>
      </c>
      <c r="G411" s="76" t="b">
        <v>0</v>
      </c>
      <c r="H411" s="76" t="b">
        <v>0</v>
      </c>
      <c r="I411" s="76" t="b">
        <v>0</v>
      </c>
      <c r="J411" s="76" t="b">
        <v>0</v>
      </c>
      <c r="K411" s="76" t="b">
        <v>0</v>
      </c>
      <c r="L411" s="76" t="b">
        <v>0</v>
      </c>
    </row>
    <row r="412" spans="1:12" ht="15">
      <c r="A412" s="73" t="s">
        <v>1585</v>
      </c>
      <c r="B412" s="76" t="s">
        <v>1560</v>
      </c>
      <c r="C412" s="76">
        <v>5</v>
      </c>
      <c r="D412" s="87">
        <v>0.006892831871615001</v>
      </c>
      <c r="E412" s="87">
        <v>1.1505371545832932</v>
      </c>
      <c r="F412" s="76" t="s">
        <v>1464</v>
      </c>
      <c r="G412" s="76" t="b">
        <v>0</v>
      </c>
      <c r="H412" s="76" t="b">
        <v>0</v>
      </c>
      <c r="I412" s="76" t="b">
        <v>0</v>
      </c>
      <c r="J412" s="76" t="b">
        <v>0</v>
      </c>
      <c r="K412" s="76" t="b">
        <v>0</v>
      </c>
      <c r="L412" s="76" t="b">
        <v>0</v>
      </c>
    </row>
    <row r="413" spans="1:12" ht="15">
      <c r="A413" s="73" t="s">
        <v>1561</v>
      </c>
      <c r="B413" s="76" t="s">
        <v>1586</v>
      </c>
      <c r="C413" s="76">
        <v>5</v>
      </c>
      <c r="D413" s="87">
        <v>0.006892831871615001</v>
      </c>
      <c r="E413" s="87">
        <v>1.1505371545832932</v>
      </c>
      <c r="F413" s="76" t="s">
        <v>1464</v>
      </c>
      <c r="G413" s="76" t="b">
        <v>0</v>
      </c>
      <c r="H413" s="76" t="b">
        <v>0</v>
      </c>
      <c r="I413" s="76" t="b">
        <v>0</v>
      </c>
      <c r="J413" s="76" t="b">
        <v>0</v>
      </c>
      <c r="K413" s="76" t="b">
        <v>0</v>
      </c>
      <c r="L413" s="76" t="b">
        <v>0</v>
      </c>
    </row>
    <row r="414" spans="1:12" ht="15">
      <c r="A414" s="73" t="s">
        <v>1586</v>
      </c>
      <c r="B414" s="76" t="s">
        <v>379</v>
      </c>
      <c r="C414" s="76">
        <v>5</v>
      </c>
      <c r="D414" s="87">
        <v>0.006892831871615001</v>
      </c>
      <c r="E414" s="87">
        <v>1.2966651902615312</v>
      </c>
      <c r="F414" s="76" t="s">
        <v>1464</v>
      </c>
      <c r="G414" s="76" t="b">
        <v>0</v>
      </c>
      <c r="H414" s="76" t="b">
        <v>0</v>
      </c>
      <c r="I414" s="76" t="b">
        <v>0</v>
      </c>
      <c r="J414" s="76" t="b">
        <v>0</v>
      </c>
      <c r="K414" s="76" t="b">
        <v>0</v>
      </c>
      <c r="L414" s="76" t="b">
        <v>0</v>
      </c>
    </row>
    <row r="415" spans="1:12" ht="15">
      <c r="A415" s="73" t="s">
        <v>379</v>
      </c>
      <c r="B415" s="76" t="s">
        <v>363</v>
      </c>
      <c r="C415" s="76">
        <v>5</v>
      </c>
      <c r="D415" s="87">
        <v>0.006892831871615001</v>
      </c>
      <c r="E415" s="87">
        <v>1.1505371545832932</v>
      </c>
      <c r="F415" s="76" t="s">
        <v>1464</v>
      </c>
      <c r="G415" s="76" t="b">
        <v>0</v>
      </c>
      <c r="H415" s="76" t="b">
        <v>0</v>
      </c>
      <c r="I415" s="76" t="b">
        <v>0</v>
      </c>
      <c r="J415" s="76" t="b">
        <v>0</v>
      </c>
      <c r="K415" s="76" t="b">
        <v>0</v>
      </c>
      <c r="L415" s="76" t="b">
        <v>0</v>
      </c>
    </row>
    <row r="416" spans="1:12" ht="15">
      <c r="A416" s="73" t="s">
        <v>363</v>
      </c>
      <c r="B416" s="76" t="s">
        <v>570</v>
      </c>
      <c r="C416" s="76">
        <v>5</v>
      </c>
      <c r="D416" s="87">
        <v>0.006892831871615001</v>
      </c>
      <c r="E416" s="87">
        <v>1.2966651902615312</v>
      </c>
      <c r="F416" s="76" t="s">
        <v>1464</v>
      </c>
      <c r="G416" s="76" t="b">
        <v>0</v>
      </c>
      <c r="H416" s="76" t="b">
        <v>0</v>
      </c>
      <c r="I416" s="76" t="b">
        <v>0</v>
      </c>
      <c r="J416" s="76" t="b">
        <v>0</v>
      </c>
      <c r="K416" s="76" t="b">
        <v>0</v>
      </c>
      <c r="L416" s="76" t="b">
        <v>0</v>
      </c>
    </row>
    <row r="417" spans="1:12" ht="15">
      <c r="A417" s="73" t="s">
        <v>368</v>
      </c>
      <c r="B417" s="76" t="s">
        <v>1492</v>
      </c>
      <c r="C417" s="76">
        <v>2</v>
      </c>
      <c r="D417" s="87">
        <v>0.010265434799061805</v>
      </c>
      <c r="E417" s="87">
        <v>1.1505371545832932</v>
      </c>
      <c r="F417" s="76" t="s">
        <v>1464</v>
      </c>
      <c r="G417" s="76" t="b">
        <v>0</v>
      </c>
      <c r="H417" s="76" t="b">
        <v>0</v>
      </c>
      <c r="I417" s="76" t="b">
        <v>0</v>
      </c>
      <c r="J417" s="76" t="b">
        <v>0</v>
      </c>
      <c r="K417" s="76" t="b">
        <v>0</v>
      </c>
      <c r="L417" s="76" t="b">
        <v>0</v>
      </c>
    </row>
    <row r="418" spans="1:12" ht="15">
      <c r="A418" s="73" t="s">
        <v>1492</v>
      </c>
      <c r="B418" s="76" t="s">
        <v>1675</v>
      </c>
      <c r="C418" s="76">
        <v>2</v>
      </c>
      <c r="D418" s="87">
        <v>0.010265434799061805</v>
      </c>
      <c r="E418" s="87">
        <v>1.6946051989335686</v>
      </c>
      <c r="F418" s="76" t="s">
        <v>1464</v>
      </c>
      <c r="G418" s="76" t="b">
        <v>0</v>
      </c>
      <c r="H418" s="76" t="b">
        <v>0</v>
      </c>
      <c r="I418" s="76" t="b">
        <v>0</v>
      </c>
      <c r="J418" s="76" t="b">
        <v>0</v>
      </c>
      <c r="K418" s="76" t="b">
        <v>0</v>
      </c>
      <c r="L418" s="76" t="b">
        <v>0</v>
      </c>
    </row>
    <row r="419" spans="1:12" ht="15">
      <c r="A419" s="73" t="s">
        <v>1675</v>
      </c>
      <c r="B419" s="76" t="s">
        <v>1560</v>
      </c>
      <c r="C419" s="76">
        <v>2</v>
      </c>
      <c r="D419" s="87">
        <v>0.010265434799061805</v>
      </c>
      <c r="E419" s="87">
        <v>1.1505371545832932</v>
      </c>
      <c r="F419" s="76" t="s">
        <v>1464</v>
      </c>
      <c r="G419" s="76" t="b">
        <v>0</v>
      </c>
      <c r="H419" s="76" t="b">
        <v>0</v>
      </c>
      <c r="I419" s="76" t="b">
        <v>0</v>
      </c>
      <c r="J419" s="76" t="b">
        <v>0</v>
      </c>
      <c r="K419" s="76" t="b">
        <v>0</v>
      </c>
      <c r="L419" s="76" t="b">
        <v>0</v>
      </c>
    </row>
    <row r="420" spans="1:12" ht="15">
      <c r="A420" s="73" t="s">
        <v>1561</v>
      </c>
      <c r="B420" s="76" t="s">
        <v>1491</v>
      </c>
      <c r="C420" s="76">
        <v>2</v>
      </c>
      <c r="D420" s="87">
        <v>0.010265434799061805</v>
      </c>
      <c r="E420" s="87">
        <v>1.1505371545832932</v>
      </c>
      <c r="F420" s="76" t="s">
        <v>1464</v>
      </c>
      <c r="G420" s="76" t="b">
        <v>0</v>
      </c>
      <c r="H420" s="76" t="b">
        <v>0</v>
      </c>
      <c r="I420" s="76" t="b">
        <v>0</v>
      </c>
      <c r="J420" s="76" t="b">
        <v>0</v>
      </c>
      <c r="K420" s="76" t="b">
        <v>0</v>
      </c>
      <c r="L420" s="76" t="b">
        <v>0</v>
      </c>
    </row>
    <row r="421" spans="1:12" ht="15">
      <c r="A421" s="73" t="s">
        <v>1491</v>
      </c>
      <c r="B421" s="76" t="s">
        <v>363</v>
      </c>
      <c r="C421" s="76">
        <v>2</v>
      </c>
      <c r="D421" s="87">
        <v>0.010265434799061805</v>
      </c>
      <c r="E421" s="87">
        <v>1.1505371545832932</v>
      </c>
      <c r="F421" s="76" t="s">
        <v>1464</v>
      </c>
      <c r="G421" s="76" t="b">
        <v>0</v>
      </c>
      <c r="H421" s="76" t="b">
        <v>0</v>
      </c>
      <c r="I421" s="76" t="b">
        <v>0</v>
      </c>
      <c r="J421" s="76" t="b">
        <v>0</v>
      </c>
      <c r="K421" s="76" t="b">
        <v>0</v>
      </c>
      <c r="L421" s="76" t="b">
        <v>0</v>
      </c>
    </row>
    <row r="422" spans="1:12" ht="15">
      <c r="A422" s="73" t="s">
        <v>1502</v>
      </c>
      <c r="B422" s="76" t="s">
        <v>1553</v>
      </c>
      <c r="C422" s="76">
        <v>3</v>
      </c>
      <c r="D422" s="87">
        <v>0</v>
      </c>
      <c r="E422" s="87">
        <v>0.8450980400142568</v>
      </c>
      <c r="F422" s="76" t="s">
        <v>1465</v>
      </c>
      <c r="G422" s="76" t="b">
        <v>1</v>
      </c>
      <c r="H422" s="76" t="b">
        <v>0</v>
      </c>
      <c r="I422" s="76" t="b">
        <v>0</v>
      </c>
      <c r="J422" s="76" t="b">
        <v>0</v>
      </c>
      <c r="K422" s="76" t="b">
        <v>0</v>
      </c>
      <c r="L422" s="76" t="b">
        <v>0</v>
      </c>
    </row>
    <row r="423" spans="1:12" ht="15">
      <c r="A423" s="73" t="s">
        <v>1553</v>
      </c>
      <c r="B423" s="76" t="s">
        <v>363</v>
      </c>
      <c r="C423" s="76">
        <v>3</v>
      </c>
      <c r="D423" s="87">
        <v>0</v>
      </c>
      <c r="E423" s="87">
        <v>0.8450980400142568</v>
      </c>
      <c r="F423" s="76" t="s">
        <v>1465</v>
      </c>
      <c r="G423" s="76" t="b">
        <v>0</v>
      </c>
      <c r="H423" s="76" t="b">
        <v>0</v>
      </c>
      <c r="I423" s="76" t="b">
        <v>0</v>
      </c>
      <c r="J423" s="76" t="b">
        <v>0</v>
      </c>
      <c r="K423" s="76" t="b">
        <v>0</v>
      </c>
      <c r="L423" s="76" t="b">
        <v>0</v>
      </c>
    </row>
    <row r="424" spans="1:12" ht="15">
      <c r="A424" s="73" t="s">
        <v>363</v>
      </c>
      <c r="B424" s="76" t="s">
        <v>641</v>
      </c>
      <c r="C424" s="76">
        <v>3</v>
      </c>
      <c r="D424" s="87">
        <v>0</v>
      </c>
      <c r="E424" s="87">
        <v>1.146128035678238</v>
      </c>
      <c r="F424" s="76" t="s">
        <v>1465</v>
      </c>
      <c r="G424" s="76" t="b">
        <v>0</v>
      </c>
      <c r="H424" s="76" t="b">
        <v>0</v>
      </c>
      <c r="I424" s="76" t="b">
        <v>0</v>
      </c>
      <c r="J424" s="76" t="b">
        <v>0</v>
      </c>
      <c r="K424" s="76" t="b">
        <v>0</v>
      </c>
      <c r="L424" s="76" t="b">
        <v>0</v>
      </c>
    </row>
    <row r="425" spans="1:12" ht="15">
      <c r="A425" s="73" t="s">
        <v>641</v>
      </c>
      <c r="B425" s="76" t="s">
        <v>1623</v>
      </c>
      <c r="C425" s="76">
        <v>3</v>
      </c>
      <c r="D425" s="87">
        <v>0</v>
      </c>
      <c r="E425" s="87">
        <v>1.146128035678238</v>
      </c>
      <c r="F425" s="76" t="s">
        <v>1465</v>
      </c>
      <c r="G425" s="76" t="b">
        <v>0</v>
      </c>
      <c r="H425" s="76" t="b">
        <v>0</v>
      </c>
      <c r="I425" s="76" t="b">
        <v>0</v>
      </c>
      <c r="J425" s="76" t="b">
        <v>0</v>
      </c>
      <c r="K425" s="76" t="b">
        <v>0</v>
      </c>
      <c r="L425" s="76" t="b">
        <v>0</v>
      </c>
    </row>
    <row r="426" spans="1:12" ht="15">
      <c r="A426" s="73" t="s">
        <v>1623</v>
      </c>
      <c r="B426" s="76" t="s">
        <v>640</v>
      </c>
      <c r="C426" s="76">
        <v>3</v>
      </c>
      <c r="D426" s="87">
        <v>0</v>
      </c>
      <c r="E426" s="87">
        <v>1.146128035678238</v>
      </c>
      <c r="F426" s="76" t="s">
        <v>1465</v>
      </c>
      <c r="G426" s="76" t="b">
        <v>0</v>
      </c>
      <c r="H426" s="76" t="b">
        <v>0</v>
      </c>
      <c r="I426" s="76" t="b">
        <v>0</v>
      </c>
      <c r="J426" s="76" t="b">
        <v>0</v>
      </c>
      <c r="K426" s="76" t="b">
        <v>0</v>
      </c>
      <c r="L426" s="76" t="b">
        <v>0</v>
      </c>
    </row>
    <row r="427" spans="1:12" ht="15">
      <c r="A427" s="73" t="s">
        <v>640</v>
      </c>
      <c r="B427" s="76" t="s">
        <v>1624</v>
      </c>
      <c r="C427" s="76">
        <v>3</v>
      </c>
      <c r="D427" s="87">
        <v>0</v>
      </c>
      <c r="E427" s="87">
        <v>1.146128035678238</v>
      </c>
      <c r="F427" s="76" t="s">
        <v>1465</v>
      </c>
      <c r="G427" s="76" t="b">
        <v>0</v>
      </c>
      <c r="H427" s="76" t="b">
        <v>0</v>
      </c>
      <c r="I427" s="76" t="b">
        <v>0</v>
      </c>
      <c r="J427" s="76" t="b">
        <v>0</v>
      </c>
      <c r="K427" s="76" t="b">
        <v>0</v>
      </c>
      <c r="L427" s="76" t="b">
        <v>0</v>
      </c>
    </row>
    <row r="428" spans="1:12" ht="15">
      <c r="A428" s="73" t="s">
        <v>1624</v>
      </c>
      <c r="B428" s="76" t="s">
        <v>1500</v>
      </c>
      <c r="C428" s="76">
        <v>3</v>
      </c>
      <c r="D428" s="87">
        <v>0</v>
      </c>
      <c r="E428" s="87">
        <v>1.146128035678238</v>
      </c>
      <c r="F428" s="76" t="s">
        <v>1465</v>
      </c>
      <c r="G428" s="76" t="b">
        <v>0</v>
      </c>
      <c r="H428" s="76" t="b">
        <v>0</v>
      </c>
      <c r="I428" s="76" t="b">
        <v>0</v>
      </c>
      <c r="J428" s="76" t="b">
        <v>0</v>
      </c>
      <c r="K428" s="76" t="b">
        <v>0</v>
      </c>
      <c r="L428" s="76" t="b">
        <v>0</v>
      </c>
    </row>
    <row r="429" spans="1:12" ht="15">
      <c r="A429" s="73" t="s">
        <v>1500</v>
      </c>
      <c r="B429" s="76" t="s">
        <v>1625</v>
      </c>
      <c r="C429" s="76">
        <v>3</v>
      </c>
      <c r="D429" s="87">
        <v>0</v>
      </c>
      <c r="E429" s="87">
        <v>1.146128035678238</v>
      </c>
      <c r="F429" s="76" t="s">
        <v>1465</v>
      </c>
      <c r="G429" s="76" t="b">
        <v>0</v>
      </c>
      <c r="H429" s="76" t="b">
        <v>0</v>
      </c>
      <c r="I429" s="76" t="b">
        <v>0</v>
      </c>
      <c r="J429" s="76" t="b">
        <v>0</v>
      </c>
      <c r="K429" s="76" t="b">
        <v>0</v>
      </c>
      <c r="L429" s="76" t="b">
        <v>0</v>
      </c>
    </row>
    <row r="430" spans="1:12" ht="15">
      <c r="A430" s="73" t="s">
        <v>1625</v>
      </c>
      <c r="B430" s="76" t="s">
        <v>1551</v>
      </c>
      <c r="C430" s="76">
        <v>3</v>
      </c>
      <c r="D430" s="87">
        <v>0</v>
      </c>
      <c r="E430" s="87">
        <v>1.146128035678238</v>
      </c>
      <c r="F430" s="76" t="s">
        <v>1465</v>
      </c>
      <c r="G430" s="76" t="b">
        <v>0</v>
      </c>
      <c r="H430" s="76" t="b">
        <v>0</v>
      </c>
      <c r="I430" s="76" t="b">
        <v>0</v>
      </c>
      <c r="J430" s="76" t="b">
        <v>0</v>
      </c>
      <c r="K430" s="76" t="b">
        <v>0</v>
      </c>
      <c r="L430" s="76" t="b">
        <v>0</v>
      </c>
    </row>
    <row r="431" spans="1:12" ht="15">
      <c r="A431" s="73" t="s">
        <v>1551</v>
      </c>
      <c r="B431" s="76" t="s">
        <v>360</v>
      </c>
      <c r="C431" s="76">
        <v>3</v>
      </c>
      <c r="D431" s="87">
        <v>0</v>
      </c>
      <c r="E431" s="87">
        <v>1.146128035678238</v>
      </c>
      <c r="F431" s="76" t="s">
        <v>1465</v>
      </c>
      <c r="G431" s="76" t="b">
        <v>0</v>
      </c>
      <c r="H431" s="76" t="b">
        <v>0</v>
      </c>
      <c r="I431" s="76" t="b">
        <v>0</v>
      </c>
      <c r="J431" s="76" t="b">
        <v>0</v>
      </c>
      <c r="K431" s="76" t="b">
        <v>0</v>
      </c>
      <c r="L431" s="76" t="b">
        <v>0</v>
      </c>
    </row>
    <row r="432" spans="1:12" ht="15">
      <c r="A432" s="73" t="s">
        <v>360</v>
      </c>
      <c r="B432" s="76" t="s">
        <v>362</v>
      </c>
      <c r="C432" s="76">
        <v>3</v>
      </c>
      <c r="D432" s="87">
        <v>0</v>
      </c>
      <c r="E432" s="87">
        <v>1.146128035678238</v>
      </c>
      <c r="F432" s="76" t="s">
        <v>1465</v>
      </c>
      <c r="G432" s="76" t="b">
        <v>0</v>
      </c>
      <c r="H432" s="76" t="b">
        <v>0</v>
      </c>
      <c r="I432" s="76" t="b">
        <v>0</v>
      </c>
      <c r="J432" s="76" t="b">
        <v>0</v>
      </c>
      <c r="K432" s="76" t="b">
        <v>0</v>
      </c>
      <c r="L432" s="76" t="b">
        <v>0</v>
      </c>
    </row>
    <row r="433" spans="1:12" ht="15">
      <c r="A433" s="73" t="s">
        <v>362</v>
      </c>
      <c r="B433" s="76" t="s">
        <v>1553</v>
      </c>
      <c r="C433" s="76">
        <v>3</v>
      </c>
      <c r="D433" s="87">
        <v>0</v>
      </c>
      <c r="E433" s="87">
        <v>0.8450980400142568</v>
      </c>
      <c r="F433" s="76" t="s">
        <v>1465</v>
      </c>
      <c r="G433" s="76" t="b">
        <v>0</v>
      </c>
      <c r="H433" s="76" t="b">
        <v>0</v>
      </c>
      <c r="I433" s="76" t="b">
        <v>0</v>
      </c>
      <c r="J433" s="76" t="b">
        <v>0</v>
      </c>
      <c r="K433" s="76" t="b">
        <v>0</v>
      </c>
      <c r="L433" s="76" t="b">
        <v>0</v>
      </c>
    </row>
    <row r="434" spans="1:12" ht="15">
      <c r="A434" s="73" t="s">
        <v>1553</v>
      </c>
      <c r="B434" s="76" t="s">
        <v>1626</v>
      </c>
      <c r="C434" s="76">
        <v>3</v>
      </c>
      <c r="D434" s="87">
        <v>0</v>
      </c>
      <c r="E434" s="87">
        <v>0.8450980400142568</v>
      </c>
      <c r="F434" s="76" t="s">
        <v>1465</v>
      </c>
      <c r="G434" s="76" t="b">
        <v>0</v>
      </c>
      <c r="H434" s="76" t="b">
        <v>0</v>
      </c>
      <c r="I434" s="76" t="b">
        <v>0</v>
      </c>
      <c r="J434" s="76" t="b">
        <v>0</v>
      </c>
      <c r="K434" s="76" t="b">
        <v>0</v>
      </c>
      <c r="L434" s="76" t="b">
        <v>0</v>
      </c>
    </row>
    <row r="435" spans="1:12" ht="15">
      <c r="A435" s="73" t="s">
        <v>1626</v>
      </c>
      <c r="B435" s="76" t="s">
        <v>1627</v>
      </c>
      <c r="C435" s="76">
        <v>3</v>
      </c>
      <c r="D435" s="87">
        <v>0</v>
      </c>
      <c r="E435" s="87">
        <v>1.146128035678238</v>
      </c>
      <c r="F435" s="76" t="s">
        <v>1465</v>
      </c>
      <c r="G435" s="76" t="b">
        <v>0</v>
      </c>
      <c r="H435" s="76" t="b">
        <v>0</v>
      </c>
      <c r="I435" s="76" t="b">
        <v>0</v>
      </c>
      <c r="J435" s="76" t="b">
        <v>0</v>
      </c>
      <c r="K435" s="76" t="b">
        <v>0</v>
      </c>
      <c r="L435" s="76" t="b">
        <v>0</v>
      </c>
    </row>
    <row r="436" spans="1:12" ht="15">
      <c r="A436" s="73" t="s">
        <v>380</v>
      </c>
      <c r="B436" s="76" t="s">
        <v>364</v>
      </c>
      <c r="C436" s="76">
        <v>2</v>
      </c>
      <c r="D436" s="87">
        <v>0</v>
      </c>
      <c r="E436" s="87">
        <v>1.3222192947339193</v>
      </c>
      <c r="F436" s="76" t="s">
        <v>1467</v>
      </c>
      <c r="G436" s="76" t="b">
        <v>0</v>
      </c>
      <c r="H436" s="76" t="b">
        <v>0</v>
      </c>
      <c r="I436" s="76" t="b">
        <v>0</v>
      </c>
      <c r="J436" s="76" t="b">
        <v>0</v>
      </c>
      <c r="K436" s="76" t="b">
        <v>0</v>
      </c>
      <c r="L436" s="76" t="b">
        <v>0</v>
      </c>
    </row>
    <row r="437" spans="1:12" ht="15">
      <c r="A437" s="73" t="s">
        <v>364</v>
      </c>
      <c r="B437" s="76" t="s">
        <v>365</v>
      </c>
      <c r="C437" s="76">
        <v>2</v>
      </c>
      <c r="D437" s="87">
        <v>0</v>
      </c>
      <c r="E437" s="87">
        <v>1.3222192947339193</v>
      </c>
      <c r="F437" s="76" t="s">
        <v>1467</v>
      </c>
      <c r="G437" s="76" t="b">
        <v>0</v>
      </c>
      <c r="H437" s="76" t="b">
        <v>0</v>
      </c>
      <c r="I437" s="76" t="b">
        <v>0</v>
      </c>
      <c r="J437" s="76" t="b">
        <v>0</v>
      </c>
      <c r="K437" s="76" t="b">
        <v>0</v>
      </c>
      <c r="L437" s="76" t="b">
        <v>0</v>
      </c>
    </row>
    <row r="438" spans="1:12" ht="15">
      <c r="A438" s="73" t="s">
        <v>365</v>
      </c>
      <c r="B438" s="76" t="s">
        <v>366</v>
      </c>
      <c r="C438" s="76">
        <v>2</v>
      </c>
      <c r="D438" s="87">
        <v>0</v>
      </c>
      <c r="E438" s="87">
        <v>1.3222192947339193</v>
      </c>
      <c r="F438" s="76" t="s">
        <v>1467</v>
      </c>
      <c r="G438" s="76" t="b">
        <v>0</v>
      </c>
      <c r="H438" s="76" t="b">
        <v>0</v>
      </c>
      <c r="I438" s="76" t="b">
        <v>0</v>
      </c>
      <c r="J438" s="76" t="b">
        <v>0</v>
      </c>
      <c r="K438" s="76" t="b">
        <v>1</v>
      </c>
      <c r="L438" s="76" t="b">
        <v>0</v>
      </c>
    </row>
    <row r="439" spans="1:12" ht="15">
      <c r="A439" s="73" t="s">
        <v>366</v>
      </c>
      <c r="B439" s="76" t="s">
        <v>367</v>
      </c>
      <c r="C439" s="76">
        <v>2</v>
      </c>
      <c r="D439" s="87">
        <v>0</v>
      </c>
      <c r="E439" s="87">
        <v>1.3222192947339193</v>
      </c>
      <c r="F439" s="76" t="s">
        <v>1467</v>
      </c>
      <c r="G439" s="76" t="b">
        <v>0</v>
      </c>
      <c r="H439" s="76" t="b">
        <v>1</v>
      </c>
      <c r="I439" s="76" t="b">
        <v>0</v>
      </c>
      <c r="J439" s="76" t="b">
        <v>0</v>
      </c>
      <c r="K439" s="76" t="b">
        <v>0</v>
      </c>
      <c r="L439" s="76" t="b">
        <v>0</v>
      </c>
    </row>
    <row r="440" spans="1:12" ht="15">
      <c r="A440" s="73" t="s">
        <v>367</v>
      </c>
      <c r="B440" s="76" t="s">
        <v>368</v>
      </c>
      <c r="C440" s="76">
        <v>2</v>
      </c>
      <c r="D440" s="87">
        <v>0</v>
      </c>
      <c r="E440" s="87">
        <v>1.3222192947339193</v>
      </c>
      <c r="F440" s="76" t="s">
        <v>1467</v>
      </c>
      <c r="G440" s="76" t="b">
        <v>0</v>
      </c>
      <c r="H440" s="76" t="b">
        <v>0</v>
      </c>
      <c r="I440" s="76" t="b">
        <v>0</v>
      </c>
      <c r="J440" s="76" t="b">
        <v>0</v>
      </c>
      <c r="K440" s="76" t="b">
        <v>0</v>
      </c>
      <c r="L440" s="76" t="b">
        <v>0</v>
      </c>
    </row>
    <row r="441" spans="1:12" ht="15">
      <c r="A441" s="73" t="s">
        <v>368</v>
      </c>
      <c r="B441" s="76" t="s">
        <v>369</v>
      </c>
      <c r="C441" s="76">
        <v>2</v>
      </c>
      <c r="D441" s="87">
        <v>0</v>
      </c>
      <c r="E441" s="87">
        <v>1.3222192947339193</v>
      </c>
      <c r="F441" s="76" t="s">
        <v>1467</v>
      </c>
      <c r="G441" s="76" t="b">
        <v>0</v>
      </c>
      <c r="H441" s="76" t="b">
        <v>0</v>
      </c>
      <c r="I441" s="76" t="b">
        <v>0</v>
      </c>
      <c r="J441" s="76" t="b">
        <v>0</v>
      </c>
      <c r="K441" s="76" t="b">
        <v>0</v>
      </c>
      <c r="L441" s="76" t="b">
        <v>0</v>
      </c>
    </row>
    <row r="442" spans="1:12" ht="15">
      <c r="A442" s="73" t="s">
        <v>369</v>
      </c>
      <c r="B442" s="76" t="s">
        <v>370</v>
      </c>
      <c r="C442" s="76">
        <v>2</v>
      </c>
      <c r="D442" s="87">
        <v>0</v>
      </c>
      <c r="E442" s="87">
        <v>1.3222192947339193</v>
      </c>
      <c r="F442" s="76" t="s">
        <v>1467</v>
      </c>
      <c r="G442" s="76" t="b">
        <v>0</v>
      </c>
      <c r="H442" s="76" t="b">
        <v>0</v>
      </c>
      <c r="I442" s="76" t="b">
        <v>0</v>
      </c>
      <c r="J442" s="76" t="b">
        <v>0</v>
      </c>
      <c r="K442" s="76" t="b">
        <v>0</v>
      </c>
      <c r="L442" s="76" t="b">
        <v>0</v>
      </c>
    </row>
    <row r="443" spans="1:12" ht="15">
      <c r="A443" s="73" t="s">
        <v>370</v>
      </c>
      <c r="B443" s="76" t="s">
        <v>360</v>
      </c>
      <c r="C443" s="76">
        <v>2</v>
      </c>
      <c r="D443" s="87">
        <v>0</v>
      </c>
      <c r="E443" s="87">
        <v>1.3222192947339193</v>
      </c>
      <c r="F443" s="76" t="s">
        <v>1467</v>
      </c>
      <c r="G443" s="76" t="b">
        <v>0</v>
      </c>
      <c r="H443" s="76" t="b">
        <v>0</v>
      </c>
      <c r="I443" s="76" t="b">
        <v>0</v>
      </c>
      <c r="J443" s="76" t="b">
        <v>0</v>
      </c>
      <c r="K443" s="76" t="b">
        <v>0</v>
      </c>
      <c r="L443" s="76" t="b">
        <v>0</v>
      </c>
    </row>
    <row r="444" spans="1:12" ht="15">
      <c r="A444" s="73" t="s">
        <v>360</v>
      </c>
      <c r="B444" s="76" t="s">
        <v>371</v>
      </c>
      <c r="C444" s="76">
        <v>2</v>
      </c>
      <c r="D444" s="87">
        <v>0</v>
      </c>
      <c r="E444" s="87">
        <v>1.3222192947339193</v>
      </c>
      <c r="F444" s="76" t="s">
        <v>1467</v>
      </c>
      <c r="G444" s="76" t="b">
        <v>0</v>
      </c>
      <c r="H444" s="76" t="b">
        <v>0</v>
      </c>
      <c r="I444" s="76" t="b">
        <v>0</v>
      </c>
      <c r="J444" s="76" t="b">
        <v>0</v>
      </c>
      <c r="K444" s="76" t="b">
        <v>0</v>
      </c>
      <c r="L444" s="76" t="b">
        <v>0</v>
      </c>
    </row>
    <row r="445" spans="1:12" ht="15">
      <c r="A445" s="73" t="s">
        <v>371</v>
      </c>
      <c r="B445" s="76" t="s">
        <v>372</v>
      </c>
      <c r="C445" s="76">
        <v>2</v>
      </c>
      <c r="D445" s="87">
        <v>0</v>
      </c>
      <c r="E445" s="87">
        <v>1.3222192947339193</v>
      </c>
      <c r="F445" s="76" t="s">
        <v>1467</v>
      </c>
      <c r="G445" s="76" t="b">
        <v>0</v>
      </c>
      <c r="H445" s="76" t="b">
        <v>0</v>
      </c>
      <c r="I445" s="76" t="b">
        <v>0</v>
      </c>
      <c r="J445" s="76" t="b">
        <v>0</v>
      </c>
      <c r="K445" s="76" t="b">
        <v>0</v>
      </c>
      <c r="L445" s="76" t="b">
        <v>0</v>
      </c>
    </row>
    <row r="446" spans="1:12" ht="15">
      <c r="A446" s="73" t="s">
        <v>372</v>
      </c>
      <c r="B446" s="76" t="s">
        <v>361</v>
      </c>
      <c r="C446" s="76">
        <v>2</v>
      </c>
      <c r="D446" s="87">
        <v>0</v>
      </c>
      <c r="E446" s="87">
        <v>1.3222192947339193</v>
      </c>
      <c r="F446" s="76" t="s">
        <v>1467</v>
      </c>
      <c r="G446" s="76" t="b">
        <v>0</v>
      </c>
      <c r="H446" s="76" t="b">
        <v>0</v>
      </c>
      <c r="I446" s="76" t="b">
        <v>0</v>
      </c>
      <c r="J446" s="76" t="b">
        <v>0</v>
      </c>
      <c r="K446" s="76" t="b">
        <v>0</v>
      </c>
      <c r="L446" s="76" t="b">
        <v>0</v>
      </c>
    </row>
    <row r="447" spans="1:12" ht="15">
      <c r="A447" s="73" t="s">
        <v>361</v>
      </c>
      <c r="B447" s="76" t="s">
        <v>381</v>
      </c>
      <c r="C447" s="76">
        <v>2</v>
      </c>
      <c r="D447" s="87">
        <v>0</v>
      </c>
      <c r="E447" s="87">
        <v>1.3222192947339193</v>
      </c>
      <c r="F447" s="76" t="s">
        <v>1467</v>
      </c>
      <c r="G447" s="76" t="b">
        <v>0</v>
      </c>
      <c r="H447" s="76" t="b">
        <v>0</v>
      </c>
      <c r="I447" s="76" t="b">
        <v>0</v>
      </c>
      <c r="J447" s="76" t="b">
        <v>0</v>
      </c>
      <c r="K447" s="76" t="b">
        <v>0</v>
      </c>
      <c r="L447" s="76" t="b">
        <v>0</v>
      </c>
    </row>
    <row r="448" spans="1:12" ht="15">
      <c r="A448" s="73" t="s">
        <v>381</v>
      </c>
      <c r="B448" s="76" t="s">
        <v>362</v>
      </c>
      <c r="C448" s="76">
        <v>2</v>
      </c>
      <c r="D448" s="87">
        <v>0</v>
      </c>
      <c r="E448" s="87">
        <v>1.3222192947339193</v>
      </c>
      <c r="F448" s="76" t="s">
        <v>1467</v>
      </c>
      <c r="G448" s="76" t="b">
        <v>0</v>
      </c>
      <c r="H448" s="76" t="b">
        <v>0</v>
      </c>
      <c r="I448" s="76" t="b">
        <v>0</v>
      </c>
      <c r="J448" s="76" t="b">
        <v>0</v>
      </c>
      <c r="K448" s="76" t="b">
        <v>0</v>
      </c>
      <c r="L448" s="76" t="b">
        <v>0</v>
      </c>
    </row>
    <row r="449" spans="1:12" ht="15">
      <c r="A449" s="73" t="s">
        <v>362</v>
      </c>
      <c r="B449" s="76" t="s">
        <v>363</v>
      </c>
      <c r="C449" s="76">
        <v>2</v>
      </c>
      <c r="D449" s="87">
        <v>0</v>
      </c>
      <c r="E449" s="87">
        <v>1.3222192947339193</v>
      </c>
      <c r="F449" s="76" t="s">
        <v>1467</v>
      </c>
      <c r="G449" s="76" t="b">
        <v>0</v>
      </c>
      <c r="H449" s="76" t="b">
        <v>0</v>
      </c>
      <c r="I449" s="76" t="b">
        <v>0</v>
      </c>
      <c r="J449" s="76" t="b">
        <v>0</v>
      </c>
      <c r="K449" s="76" t="b">
        <v>0</v>
      </c>
      <c r="L449" s="76" t="b">
        <v>0</v>
      </c>
    </row>
    <row r="450" spans="1:12" ht="15">
      <c r="A450" s="73" t="s">
        <v>363</v>
      </c>
      <c r="B450" s="76" t="s">
        <v>373</v>
      </c>
      <c r="C450" s="76">
        <v>2</v>
      </c>
      <c r="D450" s="87">
        <v>0</v>
      </c>
      <c r="E450" s="87">
        <v>1.3222192947339193</v>
      </c>
      <c r="F450" s="76" t="s">
        <v>1467</v>
      </c>
      <c r="G450" s="76" t="b">
        <v>0</v>
      </c>
      <c r="H450" s="76" t="b">
        <v>0</v>
      </c>
      <c r="I450" s="76" t="b">
        <v>0</v>
      </c>
      <c r="J450" s="76" t="b">
        <v>0</v>
      </c>
      <c r="K450" s="76" t="b">
        <v>0</v>
      </c>
      <c r="L450" s="76" t="b">
        <v>0</v>
      </c>
    </row>
    <row r="451" spans="1:12" ht="15">
      <c r="A451" s="73" t="s">
        <v>373</v>
      </c>
      <c r="B451" s="76" t="s">
        <v>374</v>
      </c>
      <c r="C451" s="76">
        <v>2</v>
      </c>
      <c r="D451" s="87">
        <v>0</v>
      </c>
      <c r="E451" s="87">
        <v>1.3222192947339193</v>
      </c>
      <c r="F451" s="76" t="s">
        <v>1467</v>
      </c>
      <c r="G451" s="76" t="b">
        <v>0</v>
      </c>
      <c r="H451" s="76" t="b">
        <v>0</v>
      </c>
      <c r="I451" s="76" t="b">
        <v>0</v>
      </c>
      <c r="J451" s="76" t="b">
        <v>0</v>
      </c>
      <c r="K451" s="76" t="b">
        <v>0</v>
      </c>
      <c r="L451" s="76" t="b">
        <v>0</v>
      </c>
    </row>
    <row r="452" spans="1:12" ht="15">
      <c r="A452" s="73" t="s">
        <v>374</v>
      </c>
      <c r="B452" s="76" t="s">
        <v>375</v>
      </c>
      <c r="C452" s="76">
        <v>2</v>
      </c>
      <c r="D452" s="87">
        <v>0</v>
      </c>
      <c r="E452" s="87">
        <v>1.3222192947339193</v>
      </c>
      <c r="F452" s="76" t="s">
        <v>1467</v>
      </c>
      <c r="G452" s="76" t="b">
        <v>0</v>
      </c>
      <c r="H452" s="76" t="b">
        <v>0</v>
      </c>
      <c r="I452" s="76" t="b">
        <v>0</v>
      </c>
      <c r="J452" s="76" t="b">
        <v>0</v>
      </c>
      <c r="K452" s="76" t="b">
        <v>0</v>
      </c>
      <c r="L452" s="76" t="b">
        <v>0</v>
      </c>
    </row>
    <row r="453" spans="1:12" ht="15">
      <c r="A453" s="73" t="s">
        <v>375</v>
      </c>
      <c r="B453" s="76" t="s">
        <v>376</v>
      </c>
      <c r="C453" s="76">
        <v>2</v>
      </c>
      <c r="D453" s="87">
        <v>0</v>
      </c>
      <c r="E453" s="87">
        <v>1.3222192947339193</v>
      </c>
      <c r="F453" s="76" t="s">
        <v>1467</v>
      </c>
      <c r="G453" s="76" t="b">
        <v>0</v>
      </c>
      <c r="H453" s="76" t="b">
        <v>0</v>
      </c>
      <c r="I453" s="76" t="b">
        <v>0</v>
      </c>
      <c r="J453" s="76" t="b">
        <v>0</v>
      </c>
      <c r="K453" s="76" t="b">
        <v>0</v>
      </c>
      <c r="L453" s="76" t="b">
        <v>0</v>
      </c>
    </row>
    <row r="454" spans="1:12" ht="15">
      <c r="A454" s="73" t="s">
        <v>376</v>
      </c>
      <c r="B454" s="76" t="s">
        <v>377</v>
      </c>
      <c r="C454" s="76">
        <v>2</v>
      </c>
      <c r="D454" s="87">
        <v>0</v>
      </c>
      <c r="E454" s="87">
        <v>1.3222192947339193</v>
      </c>
      <c r="F454" s="76" t="s">
        <v>1467</v>
      </c>
      <c r="G454" s="76" t="b">
        <v>0</v>
      </c>
      <c r="H454" s="76" t="b">
        <v>0</v>
      </c>
      <c r="I454" s="76" t="b">
        <v>0</v>
      </c>
      <c r="J454" s="76" t="b">
        <v>0</v>
      </c>
      <c r="K454" s="76" t="b">
        <v>0</v>
      </c>
      <c r="L454" s="76" t="b">
        <v>0</v>
      </c>
    </row>
    <row r="455" spans="1:12" ht="15">
      <c r="A455" s="73" t="s">
        <v>377</v>
      </c>
      <c r="B455" s="76" t="s">
        <v>378</v>
      </c>
      <c r="C455" s="76">
        <v>2</v>
      </c>
      <c r="D455" s="87">
        <v>0</v>
      </c>
      <c r="E455" s="87">
        <v>1.3222192947339193</v>
      </c>
      <c r="F455" s="76" t="s">
        <v>1467</v>
      </c>
      <c r="G455" s="76" t="b">
        <v>0</v>
      </c>
      <c r="H455" s="76" t="b">
        <v>0</v>
      </c>
      <c r="I455" s="76" t="b">
        <v>0</v>
      </c>
      <c r="J455" s="76" t="b">
        <v>0</v>
      </c>
      <c r="K455" s="76" t="b">
        <v>0</v>
      </c>
      <c r="L455" s="76" t="b">
        <v>0</v>
      </c>
    </row>
    <row r="456" spans="1:12" ht="15">
      <c r="A456" s="73" t="s">
        <v>378</v>
      </c>
      <c r="B456" s="76" t="s">
        <v>261</v>
      </c>
      <c r="C456" s="76">
        <v>2</v>
      </c>
      <c r="D456" s="87">
        <v>0</v>
      </c>
      <c r="E456" s="87">
        <v>1.3222192947339193</v>
      </c>
      <c r="F456" s="76" t="s">
        <v>1467</v>
      </c>
      <c r="G456" s="76" t="b">
        <v>0</v>
      </c>
      <c r="H456" s="76" t="b">
        <v>0</v>
      </c>
      <c r="I456" s="76" t="b">
        <v>0</v>
      </c>
      <c r="J456" s="76" t="b">
        <v>0</v>
      </c>
      <c r="K456" s="76" t="b">
        <v>0</v>
      </c>
      <c r="L456" s="76" t="b">
        <v>0</v>
      </c>
    </row>
    <row r="457" spans="1:12" ht="15">
      <c r="A457" s="73" t="s">
        <v>383</v>
      </c>
      <c r="B457" s="76" t="s">
        <v>1644</v>
      </c>
      <c r="C457" s="76">
        <v>2</v>
      </c>
      <c r="D457" s="87">
        <v>0</v>
      </c>
      <c r="E457" s="87">
        <v>1.0791812460476249</v>
      </c>
      <c r="F457" s="76" t="s">
        <v>1469</v>
      </c>
      <c r="G457" s="76" t="b">
        <v>0</v>
      </c>
      <c r="H457" s="76" t="b">
        <v>0</v>
      </c>
      <c r="I457" s="76" t="b">
        <v>0</v>
      </c>
      <c r="J457" s="76" t="b">
        <v>0</v>
      </c>
      <c r="K457" s="76" t="b">
        <v>0</v>
      </c>
      <c r="L457" s="76" t="b">
        <v>0</v>
      </c>
    </row>
    <row r="458" spans="1:12" ht="15">
      <c r="A458" s="73" t="s">
        <v>1644</v>
      </c>
      <c r="B458" s="76" t="s">
        <v>1491</v>
      </c>
      <c r="C458" s="76">
        <v>2</v>
      </c>
      <c r="D458" s="87">
        <v>0</v>
      </c>
      <c r="E458" s="87">
        <v>1.0791812460476249</v>
      </c>
      <c r="F458" s="76" t="s">
        <v>1469</v>
      </c>
      <c r="G458" s="76" t="b">
        <v>0</v>
      </c>
      <c r="H458" s="76" t="b">
        <v>0</v>
      </c>
      <c r="I458" s="76" t="b">
        <v>0</v>
      </c>
      <c r="J458" s="76" t="b">
        <v>0</v>
      </c>
      <c r="K458" s="76" t="b">
        <v>0</v>
      </c>
      <c r="L458" s="76" t="b">
        <v>0</v>
      </c>
    </row>
    <row r="459" spans="1:12" ht="15">
      <c r="A459" s="73" t="s">
        <v>1491</v>
      </c>
      <c r="B459" s="76" t="s">
        <v>1498</v>
      </c>
      <c r="C459" s="76">
        <v>2</v>
      </c>
      <c r="D459" s="87">
        <v>0</v>
      </c>
      <c r="E459" s="87">
        <v>1.0791812460476249</v>
      </c>
      <c r="F459" s="76" t="s">
        <v>1469</v>
      </c>
      <c r="G459" s="76" t="b">
        <v>0</v>
      </c>
      <c r="H459" s="76" t="b">
        <v>0</v>
      </c>
      <c r="I459" s="76" t="b">
        <v>0</v>
      </c>
      <c r="J459" s="76" t="b">
        <v>0</v>
      </c>
      <c r="K459" s="76" t="b">
        <v>0</v>
      </c>
      <c r="L459" s="76" t="b">
        <v>0</v>
      </c>
    </row>
    <row r="460" spans="1:12" ht="15">
      <c r="A460" s="73" t="s">
        <v>1498</v>
      </c>
      <c r="B460" s="76" t="s">
        <v>1645</v>
      </c>
      <c r="C460" s="76">
        <v>2</v>
      </c>
      <c r="D460" s="87">
        <v>0</v>
      </c>
      <c r="E460" s="87">
        <v>1.0791812460476249</v>
      </c>
      <c r="F460" s="76" t="s">
        <v>1469</v>
      </c>
      <c r="G460" s="76" t="b">
        <v>0</v>
      </c>
      <c r="H460" s="76" t="b">
        <v>0</v>
      </c>
      <c r="I460" s="76" t="b">
        <v>0</v>
      </c>
      <c r="J460" s="76" t="b">
        <v>0</v>
      </c>
      <c r="K460" s="76" t="b">
        <v>0</v>
      </c>
      <c r="L460" s="76" t="b">
        <v>0</v>
      </c>
    </row>
    <row r="461" spans="1:12" ht="15">
      <c r="A461" s="73" t="s">
        <v>1645</v>
      </c>
      <c r="B461" s="76" t="s">
        <v>360</v>
      </c>
      <c r="C461" s="76">
        <v>2</v>
      </c>
      <c r="D461" s="87">
        <v>0</v>
      </c>
      <c r="E461" s="87">
        <v>1.0791812460476249</v>
      </c>
      <c r="F461" s="76" t="s">
        <v>1469</v>
      </c>
      <c r="G461" s="76" t="b">
        <v>0</v>
      </c>
      <c r="H461" s="76" t="b">
        <v>0</v>
      </c>
      <c r="I461" s="76" t="b">
        <v>0</v>
      </c>
      <c r="J461" s="76" t="b">
        <v>0</v>
      </c>
      <c r="K461" s="76" t="b">
        <v>0</v>
      </c>
      <c r="L461" s="76" t="b">
        <v>0</v>
      </c>
    </row>
    <row r="462" spans="1:12" ht="15">
      <c r="A462" s="73" t="s">
        <v>360</v>
      </c>
      <c r="B462" s="76" t="s">
        <v>362</v>
      </c>
      <c r="C462" s="76">
        <v>2</v>
      </c>
      <c r="D462" s="87">
        <v>0</v>
      </c>
      <c r="E462" s="87">
        <v>1.0791812460476249</v>
      </c>
      <c r="F462" s="76" t="s">
        <v>1469</v>
      </c>
      <c r="G462" s="76" t="b">
        <v>0</v>
      </c>
      <c r="H462" s="76" t="b">
        <v>0</v>
      </c>
      <c r="I462" s="76" t="b">
        <v>0</v>
      </c>
      <c r="J462" s="76" t="b">
        <v>0</v>
      </c>
      <c r="K462" s="76" t="b">
        <v>0</v>
      </c>
      <c r="L462" s="76" t="b">
        <v>0</v>
      </c>
    </row>
    <row r="463" spans="1:12" ht="15">
      <c r="A463" s="73" t="s">
        <v>362</v>
      </c>
      <c r="B463" s="76" t="s">
        <v>363</v>
      </c>
      <c r="C463" s="76">
        <v>2</v>
      </c>
      <c r="D463" s="87">
        <v>0</v>
      </c>
      <c r="E463" s="87">
        <v>1.0791812460476249</v>
      </c>
      <c r="F463" s="76" t="s">
        <v>1469</v>
      </c>
      <c r="G463" s="76" t="b">
        <v>0</v>
      </c>
      <c r="H463" s="76" t="b">
        <v>0</v>
      </c>
      <c r="I463" s="76" t="b">
        <v>0</v>
      </c>
      <c r="J463" s="76" t="b">
        <v>0</v>
      </c>
      <c r="K463" s="76" t="b">
        <v>0</v>
      </c>
      <c r="L463" s="76" t="b">
        <v>0</v>
      </c>
    </row>
    <row r="464" spans="1:12" ht="15">
      <c r="A464" s="73" t="s">
        <v>363</v>
      </c>
      <c r="B464" s="76" t="s">
        <v>1646</v>
      </c>
      <c r="C464" s="76">
        <v>2</v>
      </c>
      <c r="D464" s="87">
        <v>0</v>
      </c>
      <c r="E464" s="87">
        <v>1.0791812460476249</v>
      </c>
      <c r="F464" s="76" t="s">
        <v>1469</v>
      </c>
      <c r="G464" s="76" t="b">
        <v>0</v>
      </c>
      <c r="H464" s="76" t="b">
        <v>0</v>
      </c>
      <c r="I464" s="76" t="b">
        <v>0</v>
      </c>
      <c r="J464" s="76" t="b">
        <v>0</v>
      </c>
      <c r="K464" s="76" t="b">
        <v>0</v>
      </c>
      <c r="L464" s="76" t="b">
        <v>0</v>
      </c>
    </row>
    <row r="465" spans="1:12" ht="15">
      <c r="A465" s="73" t="s">
        <v>1646</v>
      </c>
      <c r="B465" s="76" t="s">
        <v>1647</v>
      </c>
      <c r="C465" s="76">
        <v>2</v>
      </c>
      <c r="D465" s="87">
        <v>0</v>
      </c>
      <c r="E465" s="87">
        <v>1.0791812460476249</v>
      </c>
      <c r="F465" s="76" t="s">
        <v>1469</v>
      </c>
      <c r="G465" s="76" t="b">
        <v>0</v>
      </c>
      <c r="H465" s="76" t="b">
        <v>0</v>
      </c>
      <c r="I465" s="76" t="b">
        <v>0</v>
      </c>
      <c r="J465" s="76" t="b">
        <v>0</v>
      </c>
      <c r="K465" s="76" t="b">
        <v>0</v>
      </c>
      <c r="L465" s="76" t="b">
        <v>0</v>
      </c>
    </row>
    <row r="466" spans="1:12" ht="15">
      <c r="A466" s="73" t="s">
        <v>1647</v>
      </c>
      <c r="B466" s="76" t="s">
        <v>1648</v>
      </c>
      <c r="C466" s="76">
        <v>2</v>
      </c>
      <c r="D466" s="87">
        <v>0</v>
      </c>
      <c r="E466" s="87">
        <v>1.0791812460476249</v>
      </c>
      <c r="F466" s="76" t="s">
        <v>1469</v>
      </c>
      <c r="G466" s="76" t="b">
        <v>0</v>
      </c>
      <c r="H466" s="76" t="b">
        <v>0</v>
      </c>
      <c r="I466" s="76" t="b">
        <v>0</v>
      </c>
      <c r="J466" s="76" t="b">
        <v>0</v>
      </c>
      <c r="K466" s="76" t="b">
        <v>0</v>
      </c>
      <c r="L466" s="76" t="b">
        <v>0</v>
      </c>
    </row>
    <row r="467" spans="1:12" ht="15">
      <c r="A467" s="73" t="s">
        <v>1648</v>
      </c>
      <c r="B467" s="76" t="s">
        <v>1604</v>
      </c>
      <c r="C467" s="76">
        <v>2</v>
      </c>
      <c r="D467" s="87">
        <v>0</v>
      </c>
      <c r="E467" s="87">
        <v>1.0791812460476249</v>
      </c>
      <c r="F467" s="76" t="s">
        <v>1469</v>
      </c>
      <c r="G467" s="76" t="b">
        <v>0</v>
      </c>
      <c r="H467" s="76" t="b">
        <v>0</v>
      </c>
      <c r="I467" s="76" t="b">
        <v>0</v>
      </c>
      <c r="J467" s="76" t="b">
        <v>0</v>
      </c>
      <c r="K467" s="76" t="b">
        <v>0</v>
      </c>
      <c r="L467" s="76" t="b">
        <v>0</v>
      </c>
    </row>
    <row r="468" spans="1:12" ht="15">
      <c r="A468" s="73" t="s">
        <v>1604</v>
      </c>
      <c r="B468" s="76" t="s">
        <v>649</v>
      </c>
      <c r="C468" s="76">
        <v>2</v>
      </c>
      <c r="D468" s="87">
        <v>0</v>
      </c>
      <c r="E468" s="87">
        <v>1.0791812460476249</v>
      </c>
      <c r="F468" s="76" t="s">
        <v>1469</v>
      </c>
      <c r="G468" s="76" t="b">
        <v>0</v>
      </c>
      <c r="H468" s="76" t="b">
        <v>0</v>
      </c>
      <c r="I468" s="76" t="b">
        <v>0</v>
      </c>
      <c r="J468" s="76" t="b">
        <v>0</v>
      </c>
      <c r="K468" s="76" t="b">
        <v>0</v>
      </c>
      <c r="L468" s="76" t="b">
        <v>0</v>
      </c>
    </row>
    <row r="469" spans="1:12" ht="15">
      <c r="A469" s="73" t="s">
        <v>361</v>
      </c>
      <c r="B469" s="76" t="s">
        <v>1606</v>
      </c>
      <c r="C469" s="76">
        <v>3</v>
      </c>
      <c r="D469" s="87">
        <v>0</v>
      </c>
      <c r="E469" s="87">
        <v>1.3424226808222062</v>
      </c>
      <c r="F469" s="76" t="s">
        <v>1470</v>
      </c>
      <c r="G469" s="76" t="b">
        <v>0</v>
      </c>
      <c r="H469" s="76" t="b">
        <v>0</v>
      </c>
      <c r="I469" s="76" t="b">
        <v>0</v>
      </c>
      <c r="J469" s="76" t="b">
        <v>0</v>
      </c>
      <c r="K469" s="76" t="b">
        <v>0</v>
      </c>
      <c r="L469" s="76" t="b">
        <v>0</v>
      </c>
    </row>
    <row r="470" spans="1:12" ht="15">
      <c r="A470" s="73" t="s">
        <v>1606</v>
      </c>
      <c r="B470" s="76" t="s">
        <v>1607</v>
      </c>
      <c r="C470" s="76">
        <v>3</v>
      </c>
      <c r="D470" s="87">
        <v>0</v>
      </c>
      <c r="E470" s="87">
        <v>1.3424226808222062</v>
      </c>
      <c r="F470" s="76" t="s">
        <v>1470</v>
      </c>
      <c r="G470" s="76" t="b">
        <v>0</v>
      </c>
      <c r="H470" s="76" t="b">
        <v>0</v>
      </c>
      <c r="I470" s="76" t="b">
        <v>0</v>
      </c>
      <c r="J470" s="76" t="b">
        <v>0</v>
      </c>
      <c r="K470" s="76" t="b">
        <v>0</v>
      </c>
      <c r="L470" s="76" t="b">
        <v>0</v>
      </c>
    </row>
    <row r="471" spans="1:12" ht="15">
      <c r="A471" s="73" t="s">
        <v>1607</v>
      </c>
      <c r="B471" s="76" t="s">
        <v>1608</v>
      </c>
      <c r="C471" s="76">
        <v>3</v>
      </c>
      <c r="D471" s="87">
        <v>0</v>
      </c>
      <c r="E471" s="87">
        <v>1.3424226808222062</v>
      </c>
      <c r="F471" s="76" t="s">
        <v>1470</v>
      </c>
      <c r="G471" s="76" t="b">
        <v>0</v>
      </c>
      <c r="H471" s="76" t="b">
        <v>0</v>
      </c>
      <c r="I471" s="76" t="b">
        <v>0</v>
      </c>
      <c r="J471" s="76" t="b">
        <v>0</v>
      </c>
      <c r="K471" s="76" t="b">
        <v>0</v>
      </c>
      <c r="L471" s="76" t="b">
        <v>0</v>
      </c>
    </row>
    <row r="472" spans="1:12" ht="15">
      <c r="A472" s="73" t="s">
        <v>1608</v>
      </c>
      <c r="B472" s="76" t="s">
        <v>1609</v>
      </c>
      <c r="C472" s="76">
        <v>3</v>
      </c>
      <c r="D472" s="87">
        <v>0</v>
      </c>
      <c r="E472" s="87">
        <v>1.3424226808222062</v>
      </c>
      <c r="F472" s="76" t="s">
        <v>1470</v>
      </c>
      <c r="G472" s="76" t="b">
        <v>0</v>
      </c>
      <c r="H472" s="76" t="b">
        <v>0</v>
      </c>
      <c r="I472" s="76" t="b">
        <v>0</v>
      </c>
      <c r="J472" s="76" t="b">
        <v>0</v>
      </c>
      <c r="K472" s="76" t="b">
        <v>0</v>
      </c>
      <c r="L472" s="76" t="b">
        <v>0</v>
      </c>
    </row>
    <row r="473" spans="1:12" ht="15">
      <c r="A473" s="73" t="s">
        <v>1609</v>
      </c>
      <c r="B473" s="76" t="s">
        <v>1589</v>
      </c>
      <c r="C473" s="76">
        <v>3</v>
      </c>
      <c r="D473" s="87">
        <v>0</v>
      </c>
      <c r="E473" s="87">
        <v>1.3424226808222062</v>
      </c>
      <c r="F473" s="76" t="s">
        <v>1470</v>
      </c>
      <c r="G473" s="76" t="b">
        <v>0</v>
      </c>
      <c r="H473" s="76" t="b">
        <v>0</v>
      </c>
      <c r="I473" s="76" t="b">
        <v>0</v>
      </c>
      <c r="J473" s="76" t="b">
        <v>0</v>
      </c>
      <c r="K473" s="76" t="b">
        <v>0</v>
      </c>
      <c r="L473" s="76" t="b">
        <v>0</v>
      </c>
    </row>
    <row r="474" spans="1:12" ht="15">
      <c r="A474" s="73" t="s">
        <v>1589</v>
      </c>
      <c r="B474" s="76" t="s">
        <v>1610</v>
      </c>
      <c r="C474" s="76">
        <v>3</v>
      </c>
      <c r="D474" s="87">
        <v>0</v>
      </c>
      <c r="E474" s="87">
        <v>1.3424226808222062</v>
      </c>
      <c r="F474" s="76" t="s">
        <v>1470</v>
      </c>
      <c r="G474" s="76" t="b">
        <v>0</v>
      </c>
      <c r="H474" s="76" t="b">
        <v>0</v>
      </c>
      <c r="I474" s="76" t="b">
        <v>0</v>
      </c>
      <c r="J474" s="76" t="b">
        <v>0</v>
      </c>
      <c r="K474" s="76" t="b">
        <v>0</v>
      </c>
      <c r="L474" s="76" t="b">
        <v>0</v>
      </c>
    </row>
    <row r="475" spans="1:12" ht="15">
      <c r="A475" s="73" t="s">
        <v>1610</v>
      </c>
      <c r="B475" s="76" t="s">
        <v>379</v>
      </c>
      <c r="C475" s="76">
        <v>3</v>
      </c>
      <c r="D475" s="87">
        <v>0</v>
      </c>
      <c r="E475" s="87">
        <v>1.3424226808222062</v>
      </c>
      <c r="F475" s="76" t="s">
        <v>1470</v>
      </c>
      <c r="G475" s="76" t="b">
        <v>0</v>
      </c>
      <c r="H475" s="76" t="b">
        <v>0</v>
      </c>
      <c r="I475" s="76" t="b">
        <v>0</v>
      </c>
      <c r="J475" s="76" t="b">
        <v>0</v>
      </c>
      <c r="K475" s="76" t="b">
        <v>0</v>
      </c>
      <c r="L475" s="76" t="b">
        <v>0</v>
      </c>
    </row>
    <row r="476" spans="1:12" ht="15">
      <c r="A476" s="73" t="s">
        <v>379</v>
      </c>
      <c r="B476" s="76" t="s">
        <v>362</v>
      </c>
      <c r="C476" s="76">
        <v>3</v>
      </c>
      <c r="D476" s="87">
        <v>0</v>
      </c>
      <c r="E476" s="87">
        <v>1.3424226808222062</v>
      </c>
      <c r="F476" s="76" t="s">
        <v>1470</v>
      </c>
      <c r="G476" s="76" t="b">
        <v>0</v>
      </c>
      <c r="H476" s="76" t="b">
        <v>0</v>
      </c>
      <c r="I476" s="76" t="b">
        <v>0</v>
      </c>
      <c r="J476" s="76" t="b">
        <v>0</v>
      </c>
      <c r="K476" s="76" t="b">
        <v>0</v>
      </c>
      <c r="L476" s="76" t="b">
        <v>0</v>
      </c>
    </row>
    <row r="477" spans="1:12" ht="15">
      <c r="A477" s="73" t="s">
        <v>362</v>
      </c>
      <c r="B477" s="76" t="s">
        <v>363</v>
      </c>
      <c r="C477" s="76">
        <v>3</v>
      </c>
      <c r="D477" s="87">
        <v>0</v>
      </c>
      <c r="E477" s="87">
        <v>1.3424226808222062</v>
      </c>
      <c r="F477" s="76" t="s">
        <v>1470</v>
      </c>
      <c r="G477" s="76" t="b">
        <v>0</v>
      </c>
      <c r="H477" s="76" t="b">
        <v>0</v>
      </c>
      <c r="I477" s="76" t="b">
        <v>0</v>
      </c>
      <c r="J477" s="76" t="b">
        <v>0</v>
      </c>
      <c r="K477" s="76" t="b">
        <v>0</v>
      </c>
      <c r="L477" s="76" t="b">
        <v>0</v>
      </c>
    </row>
    <row r="478" spans="1:12" ht="15">
      <c r="A478" s="73" t="s">
        <v>363</v>
      </c>
      <c r="B478" s="76" t="s">
        <v>1611</v>
      </c>
      <c r="C478" s="76">
        <v>3</v>
      </c>
      <c r="D478" s="87">
        <v>0</v>
      </c>
      <c r="E478" s="87">
        <v>1.3424226808222062</v>
      </c>
      <c r="F478" s="76" t="s">
        <v>1470</v>
      </c>
      <c r="G478" s="76" t="b">
        <v>0</v>
      </c>
      <c r="H478" s="76" t="b">
        <v>0</v>
      </c>
      <c r="I478" s="76" t="b">
        <v>0</v>
      </c>
      <c r="J478" s="76" t="b">
        <v>0</v>
      </c>
      <c r="K478" s="76" t="b">
        <v>0</v>
      </c>
      <c r="L478" s="76" t="b">
        <v>0</v>
      </c>
    </row>
    <row r="479" spans="1:12" ht="15">
      <c r="A479" s="73" t="s">
        <v>1611</v>
      </c>
      <c r="B479" s="76" t="s">
        <v>1612</v>
      </c>
      <c r="C479" s="76">
        <v>3</v>
      </c>
      <c r="D479" s="87">
        <v>0</v>
      </c>
      <c r="E479" s="87">
        <v>1.3424226808222062</v>
      </c>
      <c r="F479" s="76" t="s">
        <v>1470</v>
      </c>
      <c r="G479" s="76" t="b">
        <v>0</v>
      </c>
      <c r="H479" s="76" t="b">
        <v>0</v>
      </c>
      <c r="I479" s="76" t="b">
        <v>0</v>
      </c>
      <c r="J479" s="76" t="b">
        <v>0</v>
      </c>
      <c r="K479" s="76" t="b">
        <v>0</v>
      </c>
      <c r="L479" s="76" t="b">
        <v>0</v>
      </c>
    </row>
    <row r="480" spans="1:12" ht="15">
      <c r="A480" s="73" t="s">
        <v>1612</v>
      </c>
      <c r="B480" s="76" t="s">
        <v>1512</v>
      </c>
      <c r="C480" s="76">
        <v>3</v>
      </c>
      <c r="D480" s="87">
        <v>0</v>
      </c>
      <c r="E480" s="87">
        <v>1.3424226808222062</v>
      </c>
      <c r="F480" s="76" t="s">
        <v>1470</v>
      </c>
      <c r="G480" s="76" t="b">
        <v>0</v>
      </c>
      <c r="H480" s="76" t="b">
        <v>0</v>
      </c>
      <c r="I480" s="76" t="b">
        <v>0</v>
      </c>
      <c r="J480" s="76" t="b">
        <v>0</v>
      </c>
      <c r="K480" s="76" t="b">
        <v>0</v>
      </c>
      <c r="L480" s="76" t="b">
        <v>0</v>
      </c>
    </row>
    <row r="481" spans="1:12" ht="15">
      <c r="A481" s="73" t="s">
        <v>1512</v>
      </c>
      <c r="B481" s="76" t="s">
        <v>1613</v>
      </c>
      <c r="C481" s="76">
        <v>3</v>
      </c>
      <c r="D481" s="87">
        <v>0</v>
      </c>
      <c r="E481" s="87">
        <v>1.3424226808222062</v>
      </c>
      <c r="F481" s="76" t="s">
        <v>1470</v>
      </c>
      <c r="G481" s="76" t="b">
        <v>0</v>
      </c>
      <c r="H481" s="76" t="b">
        <v>0</v>
      </c>
      <c r="I481" s="76" t="b">
        <v>0</v>
      </c>
      <c r="J481" s="76" t="b">
        <v>0</v>
      </c>
      <c r="K481" s="76" t="b">
        <v>0</v>
      </c>
      <c r="L481" s="76" t="b">
        <v>0</v>
      </c>
    </row>
    <row r="482" spans="1:12" ht="15">
      <c r="A482" s="73" t="s">
        <v>1613</v>
      </c>
      <c r="B482" s="76" t="s">
        <v>1614</v>
      </c>
      <c r="C482" s="76">
        <v>3</v>
      </c>
      <c r="D482" s="87">
        <v>0</v>
      </c>
      <c r="E482" s="87">
        <v>1.3424226808222062</v>
      </c>
      <c r="F482" s="76" t="s">
        <v>1470</v>
      </c>
      <c r="G482" s="76" t="b">
        <v>0</v>
      </c>
      <c r="H482" s="76" t="b">
        <v>0</v>
      </c>
      <c r="I482" s="76" t="b">
        <v>0</v>
      </c>
      <c r="J482" s="76" t="b">
        <v>0</v>
      </c>
      <c r="K482" s="76" t="b">
        <v>0</v>
      </c>
      <c r="L482" s="76" t="b">
        <v>0</v>
      </c>
    </row>
    <row r="483" spans="1:12" ht="15">
      <c r="A483" s="73" t="s">
        <v>1614</v>
      </c>
      <c r="B483" s="76" t="s">
        <v>1615</v>
      </c>
      <c r="C483" s="76">
        <v>3</v>
      </c>
      <c r="D483" s="87">
        <v>0</v>
      </c>
      <c r="E483" s="87">
        <v>1.3424226808222062</v>
      </c>
      <c r="F483" s="76" t="s">
        <v>1470</v>
      </c>
      <c r="G483" s="76" t="b">
        <v>0</v>
      </c>
      <c r="H483" s="76" t="b">
        <v>0</v>
      </c>
      <c r="I483" s="76" t="b">
        <v>0</v>
      </c>
      <c r="J483" s="76" t="b">
        <v>0</v>
      </c>
      <c r="K483" s="76" t="b">
        <v>0</v>
      </c>
      <c r="L483" s="76" t="b">
        <v>0</v>
      </c>
    </row>
    <row r="484" spans="1:12" ht="15">
      <c r="A484" s="73" t="s">
        <v>1615</v>
      </c>
      <c r="B484" s="76" t="s">
        <v>1550</v>
      </c>
      <c r="C484" s="76">
        <v>3</v>
      </c>
      <c r="D484" s="87">
        <v>0</v>
      </c>
      <c r="E484" s="87">
        <v>1.3424226808222062</v>
      </c>
      <c r="F484" s="76" t="s">
        <v>1470</v>
      </c>
      <c r="G484" s="76" t="b">
        <v>0</v>
      </c>
      <c r="H484" s="76" t="b">
        <v>0</v>
      </c>
      <c r="I484" s="76" t="b">
        <v>0</v>
      </c>
      <c r="J484" s="76" t="b">
        <v>0</v>
      </c>
      <c r="K484" s="76" t="b">
        <v>0</v>
      </c>
      <c r="L484" s="76" t="b">
        <v>0</v>
      </c>
    </row>
    <row r="485" spans="1:12" ht="15">
      <c r="A485" s="73" t="s">
        <v>1550</v>
      </c>
      <c r="B485" s="76" t="s">
        <v>1500</v>
      </c>
      <c r="C485" s="76">
        <v>3</v>
      </c>
      <c r="D485" s="87">
        <v>0</v>
      </c>
      <c r="E485" s="87">
        <v>1.3424226808222062</v>
      </c>
      <c r="F485" s="76" t="s">
        <v>1470</v>
      </c>
      <c r="G485" s="76" t="b">
        <v>0</v>
      </c>
      <c r="H485" s="76" t="b">
        <v>0</v>
      </c>
      <c r="I485" s="76" t="b">
        <v>0</v>
      </c>
      <c r="J485" s="76" t="b">
        <v>0</v>
      </c>
      <c r="K485" s="76" t="b">
        <v>0</v>
      </c>
      <c r="L485" s="76" t="b">
        <v>0</v>
      </c>
    </row>
    <row r="486" spans="1:12" ht="15">
      <c r="A486" s="73" t="s">
        <v>1500</v>
      </c>
      <c r="B486" s="76" t="s">
        <v>1616</v>
      </c>
      <c r="C486" s="76">
        <v>3</v>
      </c>
      <c r="D486" s="87">
        <v>0</v>
      </c>
      <c r="E486" s="87">
        <v>1.3424226808222062</v>
      </c>
      <c r="F486" s="76" t="s">
        <v>1470</v>
      </c>
      <c r="G486" s="76" t="b">
        <v>0</v>
      </c>
      <c r="H486" s="76" t="b">
        <v>0</v>
      </c>
      <c r="I486" s="76" t="b">
        <v>0</v>
      </c>
      <c r="J486" s="76" t="b">
        <v>0</v>
      </c>
      <c r="K486" s="76" t="b">
        <v>0</v>
      </c>
      <c r="L486" s="76" t="b">
        <v>0</v>
      </c>
    </row>
    <row r="487" spans="1:12" ht="15">
      <c r="A487" s="73" t="s">
        <v>1616</v>
      </c>
      <c r="B487" s="76" t="s">
        <v>1617</v>
      </c>
      <c r="C487" s="76">
        <v>3</v>
      </c>
      <c r="D487" s="87">
        <v>0</v>
      </c>
      <c r="E487" s="87">
        <v>1.3424226808222062</v>
      </c>
      <c r="F487" s="76" t="s">
        <v>1470</v>
      </c>
      <c r="G487" s="76" t="b">
        <v>0</v>
      </c>
      <c r="H487" s="76" t="b">
        <v>0</v>
      </c>
      <c r="I487" s="76" t="b">
        <v>0</v>
      </c>
      <c r="J487" s="76" t="b">
        <v>0</v>
      </c>
      <c r="K487" s="76" t="b">
        <v>0</v>
      </c>
      <c r="L487" s="76" t="b">
        <v>0</v>
      </c>
    </row>
    <row r="488" spans="1:12" ht="15">
      <c r="A488" s="73" t="s">
        <v>1617</v>
      </c>
      <c r="B488" s="76" t="s">
        <v>1618</v>
      </c>
      <c r="C488" s="76">
        <v>3</v>
      </c>
      <c r="D488" s="87">
        <v>0</v>
      </c>
      <c r="E488" s="87">
        <v>1.3424226808222062</v>
      </c>
      <c r="F488" s="76" t="s">
        <v>1470</v>
      </c>
      <c r="G488" s="76" t="b">
        <v>0</v>
      </c>
      <c r="H488" s="76" t="b">
        <v>0</v>
      </c>
      <c r="I488" s="76" t="b">
        <v>0</v>
      </c>
      <c r="J488" s="76" t="b">
        <v>0</v>
      </c>
      <c r="K488" s="76" t="b">
        <v>0</v>
      </c>
      <c r="L488" s="76" t="b">
        <v>0</v>
      </c>
    </row>
    <row r="489" spans="1:12" ht="15">
      <c r="A489" s="73" t="s">
        <v>1618</v>
      </c>
      <c r="B489" s="76" t="s">
        <v>1619</v>
      </c>
      <c r="C489" s="76">
        <v>3</v>
      </c>
      <c r="D489" s="87">
        <v>0</v>
      </c>
      <c r="E489" s="87">
        <v>1.3424226808222062</v>
      </c>
      <c r="F489" s="76" t="s">
        <v>1470</v>
      </c>
      <c r="G489" s="76" t="b">
        <v>0</v>
      </c>
      <c r="H489" s="76" t="b">
        <v>0</v>
      </c>
      <c r="I489" s="76" t="b">
        <v>0</v>
      </c>
      <c r="J489" s="76" t="b">
        <v>0</v>
      </c>
      <c r="K489" s="76" t="b">
        <v>0</v>
      </c>
      <c r="L489" s="76" t="b">
        <v>0</v>
      </c>
    </row>
    <row r="490" spans="1:12" ht="15">
      <c r="A490" s="73" t="s">
        <v>1619</v>
      </c>
      <c r="B490" s="76" t="s">
        <v>1620</v>
      </c>
      <c r="C490" s="76">
        <v>3</v>
      </c>
      <c r="D490" s="87">
        <v>0</v>
      </c>
      <c r="E490" s="87">
        <v>1.3424226808222062</v>
      </c>
      <c r="F490" s="76" t="s">
        <v>1470</v>
      </c>
      <c r="G490" s="76" t="b">
        <v>0</v>
      </c>
      <c r="H490" s="76" t="b">
        <v>0</v>
      </c>
      <c r="I490" s="76" t="b">
        <v>0</v>
      </c>
      <c r="J490" s="76" t="b">
        <v>0</v>
      </c>
      <c r="K490" s="76" t="b">
        <v>0</v>
      </c>
      <c r="L490" s="76" t="b">
        <v>0</v>
      </c>
    </row>
    <row r="491" spans="1:12" ht="15">
      <c r="A491" s="73" t="s">
        <v>1504</v>
      </c>
      <c r="B491" s="76" t="s">
        <v>1684</v>
      </c>
      <c r="C491" s="76">
        <v>2</v>
      </c>
      <c r="D491" s="87">
        <v>0</v>
      </c>
      <c r="E491" s="87">
        <v>1.301029995663981</v>
      </c>
      <c r="F491" s="76" t="s">
        <v>1471</v>
      </c>
      <c r="G491" s="76" t="b">
        <v>0</v>
      </c>
      <c r="H491" s="76" t="b">
        <v>0</v>
      </c>
      <c r="I491" s="76" t="b">
        <v>0</v>
      </c>
      <c r="J491" s="76" t="b">
        <v>0</v>
      </c>
      <c r="K491" s="76" t="b">
        <v>0</v>
      </c>
      <c r="L491" s="76" t="b">
        <v>0</v>
      </c>
    </row>
    <row r="492" spans="1:12" ht="15">
      <c r="A492" s="73" t="s">
        <v>1684</v>
      </c>
      <c r="B492" s="76" t="s">
        <v>1599</v>
      </c>
      <c r="C492" s="76">
        <v>2</v>
      </c>
      <c r="D492" s="87">
        <v>0</v>
      </c>
      <c r="E492" s="87">
        <v>0.9999999999999999</v>
      </c>
      <c r="F492" s="76" t="s">
        <v>1471</v>
      </c>
      <c r="G492" s="76" t="b">
        <v>0</v>
      </c>
      <c r="H492" s="76" t="b">
        <v>0</v>
      </c>
      <c r="I492" s="76" t="b">
        <v>0</v>
      </c>
      <c r="J492" s="76" t="b">
        <v>0</v>
      </c>
      <c r="K492" s="76" t="b">
        <v>0</v>
      </c>
      <c r="L492" s="76" t="b">
        <v>0</v>
      </c>
    </row>
    <row r="493" spans="1:12" ht="15">
      <c r="A493" s="73" t="s">
        <v>1599</v>
      </c>
      <c r="B493" s="76" t="s">
        <v>1685</v>
      </c>
      <c r="C493" s="76">
        <v>2</v>
      </c>
      <c r="D493" s="87">
        <v>0</v>
      </c>
      <c r="E493" s="87">
        <v>0.9999999999999999</v>
      </c>
      <c r="F493" s="76" t="s">
        <v>1471</v>
      </c>
      <c r="G493" s="76" t="b">
        <v>0</v>
      </c>
      <c r="H493" s="76" t="b">
        <v>0</v>
      </c>
      <c r="I493" s="76" t="b">
        <v>0</v>
      </c>
      <c r="J493" s="76" t="b">
        <v>0</v>
      </c>
      <c r="K493" s="76" t="b">
        <v>0</v>
      </c>
      <c r="L493" s="76" t="b">
        <v>0</v>
      </c>
    </row>
    <row r="494" spans="1:12" ht="15">
      <c r="A494" s="73" t="s">
        <v>1685</v>
      </c>
      <c r="B494" s="76" t="s">
        <v>1686</v>
      </c>
      <c r="C494" s="76">
        <v>2</v>
      </c>
      <c r="D494" s="87">
        <v>0</v>
      </c>
      <c r="E494" s="87">
        <v>1.301029995663981</v>
      </c>
      <c r="F494" s="76" t="s">
        <v>1471</v>
      </c>
      <c r="G494" s="76" t="b">
        <v>0</v>
      </c>
      <c r="H494" s="76" t="b">
        <v>0</v>
      </c>
      <c r="I494" s="76" t="b">
        <v>0</v>
      </c>
      <c r="J494" s="76" t="b">
        <v>0</v>
      </c>
      <c r="K494" s="76" t="b">
        <v>0</v>
      </c>
      <c r="L494" s="76" t="b">
        <v>0</v>
      </c>
    </row>
    <row r="495" spans="1:12" ht="15">
      <c r="A495" s="73" t="s">
        <v>1686</v>
      </c>
      <c r="B495" s="76" t="s">
        <v>1687</v>
      </c>
      <c r="C495" s="76">
        <v>2</v>
      </c>
      <c r="D495" s="87">
        <v>0</v>
      </c>
      <c r="E495" s="87">
        <v>1.301029995663981</v>
      </c>
      <c r="F495" s="76" t="s">
        <v>1471</v>
      </c>
      <c r="G495" s="76" t="b">
        <v>0</v>
      </c>
      <c r="H495" s="76" t="b">
        <v>0</v>
      </c>
      <c r="I495" s="76" t="b">
        <v>0</v>
      </c>
      <c r="J495" s="76" t="b">
        <v>0</v>
      </c>
      <c r="K495" s="76" t="b">
        <v>0</v>
      </c>
      <c r="L495" s="76" t="b">
        <v>0</v>
      </c>
    </row>
    <row r="496" spans="1:12" ht="15">
      <c r="A496" s="73" t="s">
        <v>1687</v>
      </c>
      <c r="B496" s="76" t="s">
        <v>1501</v>
      </c>
      <c r="C496" s="76">
        <v>2</v>
      </c>
      <c r="D496" s="87">
        <v>0</v>
      </c>
      <c r="E496" s="87">
        <v>1.301029995663981</v>
      </c>
      <c r="F496" s="76" t="s">
        <v>1471</v>
      </c>
      <c r="G496" s="76" t="b">
        <v>0</v>
      </c>
      <c r="H496" s="76" t="b">
        <v>0</v>
      </c>
      <c r="I496" s="76" t="b">
        <v>0</v>
      </c>
      <c r="J496" s="76" t="b">
        <v>0</v>
      </c>
      <c r="K496" s="76" t="b">
        <v>0</v>
      </c>
      <c r="L496" s="76" t="b">
        <v>0</v>
      </c>
    </row>
    <row r="497" spans="1:12" ht="15">
      <c r="A497" s="73" t="s">
        <v>1501</v>
      </c>
      <c r="B497" s="76" t="s">
        <v>1688</v>
      </c>
      <c r="C497" s="76">
        <v>2</v>
      </c>
      <c r="D497" s="87">
        <v>0</v>
      </c>
      <c r="E497" s="87">
        <v>1.301029995663981</v>
      </c>
      <c r="F497" s="76" t="s">
        <v>1471</v>
      </c>
      <c r="G497" s="76" t="b">
        <v>0</v>
      </c>
      <c r="H497" s="76" t="b">
        <v>0</v>
      </c>
      <c r="I497" s="76" t="b">
        <v>0</v>
      </c>
      <c r="J497" s="76" t="b">
        <v>0</v>
      </c>
      <c r="K497" s="76" t="b">
        <v>0</v>
      </c>
      <c r="L497" s="76" t="b">
        <v>0</v>
      </c>
    </row>
    <row r="498" spans="1:12" ht="15">
      <c r="A498" s="73" t="s">
        <v>1688</v>
      </c>
      <c r="B498" s="76" t="s">
        <v>1689</v>
      </c>
      <c r="C498" s="76">
        <v>2</v>
      </c>
      <c r="D498" s="87">
        <v>0</v>
      </c>
      <c r="E498" s="87">
        <v>1.301029995663981</v>
      </c>
      <c r="F498" s="76" t="s">
        <v>1471</v>
      </c>
      <c r="G498" s="76" t="b">
        <v>0</v>
      </c>
      <c r="H498" s="76" t="b">
        <v>0</v>
      </c>
      <c r="I498" s="76" t="b">
        <v>0</v>
      </c>
      <c r="J498" s="76" t="b">
        <v>0</v>
      </c>
      <c r="K498" s="76" t="b">
        <v>0</v>
      </c>
      <c r="L498" s="76" t="b">
        <v>0</v>
      </c>
    </row>
    <row r="499" spans="1:12" ht="15">
      <c r="A499" s="73" t="s">
        <v>1689</v>
      </c>
      <c r="B499" s="76" t="s">
        <v>383</v>
      </c>
      <c r="C499" s="76">
        <v>2</v>
      </c>
      <c r="D499" s="87">
        <v>0</v>
      </c>
      <c r="E499" s="87">
        <v>1.301029995663981</v>
      </c>
      <c r="F499" s="76" t="s">
        <v>1471</v>
      </c>
      <c r="G499" s="76" t="b">
        <v>0</v>
      </c>
      <c r="H499" s="76" t="b">
        <v>0</v>
      </c>
      <c r="I499" s="76" t="b">
        <v>0</v>
      </c>
      <c r="J499" s="76" t="b">
        <v>0</v>
      </c>
      <c r="K499" s="76" t="b">
        <v>0</v>
      </c>
      <c r="L499" s="76" t="b">
        <v>0</v>
      </c>
    </row>
    <row r="500" spans="1:12" ht="15">
      <c r="A500" s="73" t="s">
        <v>383</v>
      </c>
      <c r="B500" s="76" t="s">
        <v>1690</v>
      </c>
      <c r="C500" s="76">
        <v>2</v>
      </c>
      <c r="D500" s="87">
        <v>0</v>
      </c>
      <c r="E500" s="87">
        <v>1.301029995663981</v>
      </c>
      <c r="F500" s="76" t="s">
        <v>1471</v>
      </c>
      <c r="G500" s="76" t="b">
        <v>0</v>
      </c>
      <c r="H500" s="76" t="b">
        <v>0</v>
      </c>
      <c r="I500" s="76" t="b">
        <v>0</v>
      </c>
      <c r="J500" s="76" t="b">
        <v>0</v>
      </c>
      <c r="K500" s="76" t="b">
        <v>0</v>
      </c>
      <c r="L500" s="76" t="b">
        <v>0</v>
      </c>
    </row>
    <row r="501" spans="1:12" ht="15">
      <c r="A501" s="73" t="s">
        <v>1690</v>
      </c>
      <c r="B501" s="76" t="s">
        <v>1691</v>
      </c>
      <c r="C501" s="76">
        <v>2</v>
      </c>
      <c r="D501" s="87">
        <v>0</v>
      </c>
      <c r="E501" s="87">
        <v>1.301029995663981</v>
      </c>
      <c r="F501" s="76" t="s">
        <v>1471</v>
      </c>
      <c r="G501" s="76" t="b">
        <v>0</v>
      </c>
      <c r="H501" s="76" t="b">
        <v>0</v>
      </c>
      <c r="I501" s="76" t="b">
        <v>0</v>
      </c>
      <c r="J501" s="76" t="b">
        <v>1</v>
      </c>
      <c r="K501" s="76" t="b">
        <v>0</v>
      </c>
      <c r="L501" s="76" t="b">
        <v>0</v>
      </c>
    </row>
    <row r="502" spans="1:12" ht="15">
      <c r="A502" s="73" t="s">
        <v>1691</v>
      </c>
      <c r="B502" s="76" t="s">
        <v>1692</v>
      </c>
      <c r="C502" s="76">
        <v>2</v>
      </c>
      <c r="D502" s="87">
        <v>0</v>
      </c>
      <c r="E502" s="87">
        <v>1.301029995663981</v>
      </c>
      <c r="F502" s="76" t="s">
        <v>1471</v>
      </c>
      <c r="G502" s="76" t="b">
        <v>1</v>
      </c>
      <c r="H502" s="76" t="b">
        <v>0</v>
      </c>
      <c r="I502" s="76" t="b">
        <v>0</v>
      </c>
      <c r="J502" s="76" t="b">
        <v>0</v>
      </c>
      <c r="K502" s="76" t="b">
        <v>0</v>
      </c>
      <c r="L502" s="76" t="b">
        <v>0</v>
      </c>
    </row>
    <row r="503" spans="1:12" ht="15">
      <c r="A503" s="73" t="s">
        <v>1692</v>
      </c>
      <c r="B503" s="76" t="s">
        <v>360</v>
      </c>
      <c r="C503" s="76">
        <v>2</v>
      </c>
      <c r="D503" s="87">
        <v>0</v>
      </c>
      <c r="E503" s="87">
        <v>1.301029995663981</v>
      </c>
      <c r="F503" s="76" t="s">
        <v>1471</v>
      </c>
      <c r="G503" s="76" t="b">
        <v>0</v>
      </c>
      <c r="H503" s="76" t="b">
        <v>0</v>
      </c>
      <c r="I503" s="76" t="b">
        <v>0</v>
      </c>
      <c r="J503" s="76" t="b">
        <v>0</v>
      </c>
      <c r="K503" s="76" t="b">
        <v>0</v>
      </c>
      <c r="L503" s="76" t="b">
        <v>0</v>
      </c>
    </row>
    <row r="504" spans="1:12" ht="15">
      <c r="A504" s="73" t="s">
        <v>360</v>
      </c>
      <c r="B504" s="76" t="s">
        <v>362</v>
      </c>
      <c r="C504" s="76">
        <v>2</v>
      </c>
      <c r="D504" s="87">
        <v>0</v>
      </c>
      <c r="E504" s="87">
        <v>1.301029995663981</v>
      </c>
      <c r="F504" s="76" t="s">
        <v>1471</v>
      </c>
      <c r="G504" s="76" t="b">
        <v>0</v>
      </c>
      <c r="H504" s="76" t="b">
        <v>0</v>
      </c>
      <c r="I504" s="76" t="b">
        <v>0</v>
      </c>
      <c r="J504" s="76" t="b">
        <v>0</v>
      </c>
      <c r="K504" s="76" t="b">
        <v>0</v>
      </c>
      <c r="L504" s="76" t="b">
        <v>0</v>
      </c>
    </row>
    <row r="505" spans="1:12" ht="15">
      <c r="A505" s="73" t="s">
        <v>362</v>
      </c>
      <c r="B505" s="76" t="s">
        <v>363</v>
      </c>
      <c r="C505" s="76">
        <v>2</v>
      </c>
      <c r="D505" s="87">
        <v>0</v>
      </c>
      <c r="E505" s="87">
        <v>1.301029995663981</v>
      </c>
      <c r="F505" s="76" t="s">
        <v>1471</v>
      </c>
      <c r="G505" s="76" t="b">
        <v>0</v>
      </c>
      <c r="H505" s="76" t="b">
        <v>0</v>
      </c>
      <c r="I505" s="76" t="b">
        <v>0</v>
      </c>
      <c r="J505" s="76" t="b">
        <v>0</v>
      </c>
      <c r="K505" s="76" t="b">
        <v>0</v>
      </c>
      <c r="L505" s="76" t="b">
        <v>0</v>
      </c>
    </row>
    <row r="506" spans="1:12" ht="15">
      <c r="A506" s="73" t="s">
        <v>363</v>
      </c>
      <c r="B506" s="76" t="s">
        <v>1599</v>
      </c>
      <c r="C506" s="76">
        <v>2</v>
      </c>
      <c r="D506" s="87">
        <v>0</v>
      </c>
      <c r="E506" s="87">
        <v>0.9999999999999999</v>
      </c>
      <c r="F506" s="76" t="s">
        <v>1471</v>
      </c>
      <c r="G506" s="76" t="b">
        <v>0</v>
      </c>
      <c r="H506" s="76" t="b">
        <v>0</v>
      </c>
      <c r="I506" s="76" t="b">
        <v>0</v>
      </c>
      <c r="J506" s="76" t="b">
        <v>0</v>
      </c>
      <c r="K506" s="76" t="b">
        <v>0</v>
      </c>
      <c r="L506" s="76" t="b">
        <v>0</v>
      </c>
    </row>
    <row r="507" spans="1:12" ht="15">
      <c r="A507" s="73" t="s">
        <v>1599</v>
      </c>
      <c r="B507" s="76" t="s">
        <v>638</v>
      </c>
      <c r="C507" s="76">
        <v>2</v>
      </c>
      <c r="D507" s="87">
        <v>0</v>
      </c>
      <c r="E507" s="87">
        <v>0.9999999999999999</v>
      </c>
      <c r="F507" s="76" t="s">
        <v>1471</v>
      </c>
      <c r="G507" s="76" t="b">
        <v>0</v>
      </c>
      <c r="H507" s="76" t="b">
        <v>0</v>
      </c>
      <c r="I507" s="76" t="b">
        <v>0</v>
      </c>
      <c r="J507" s="76" t="b">
        <v>0</v>
      </c>
      <c r="K507" s="76" t="b">
        <v>0</v>
      </c>
      <c r="L507" s="76" t="b">
        <v>0</v>
      </c>
    </row>
    <row r="508" spans="1:12" ht="15">
      <c r="A508" s="73" t="s">
        <v>638</v>
      </c>
      <c r="B508" s="76" t="s">
        <v>1693</v>
      </c>
      <c r="C508" s="76">
        <v>2</v>
      </c>
      <c r="D508" s="87">
        <v>0</v>
      </c>
      <c r="E508" s="87">
        <v>1.301029995663981</v>
      </c>
      <c r="F508" s="76" t="s">
        <v>1471</v>
      </c>
      <c r="G508" s="76" t="b">
        <v>0</v>
      </c>
      <c r="H508" s="76" t="b">
        <v>0</v>
      </c>
      <c r="I508" s="76" t="b">
        <v>0</v>
      </c>
      <c r="J508" s="76" t="b">
        <v>0</v>
      </c>
      <c r="K508" s="76" t="b">
        <v>0</v>
      </c>
      <c r="L508" s="76" t="b">
        <v>0</v>
      </c>
    </row>
    <row r="509" spans="1:12" ht="15">
      <c r="A509" s="73" t="s">
        <v>1693</v>
      </c>
      <c r="B509" s="76" t="s">
        <v>1694</v>
      </c>
      <c r="C509" s="76">
        <v>2</v>
      </c>
      <c r="D509" s="87">
        <v>0</v>
      </c>
      <c r="E509" s="87">
        <v>1.301029995663981</v>
      </c>
      <c r="F509" s="76" t="s">
        <v>1471</v>
      </c>
      <c r="G509" s="76" t="b">
        <v>0</v>
      </c>
      <c r="H509" s="76" t="b">
        <v>0</v>
      </c>
      <c r="I509" s="76" t="b">
        <v>0</v>
      </c>
      <c r="J509" s="76" t="b">
        <v>0</v>
      </c>
      <c r="K509" s="76" t="b">
        <v>0</v>
      </c>
      <c r="L509" s="76" t="b">
        <v>0</v>
      </c>
    </row>
    <row r="510" spans="1:12" ht="15">
      <c r="A510" s="73" t="s">
        <v>1694</v>
      </c>
      <c r="B510" s="76" t="s">
        <v>1498</v>
      </c>
      <c r="C510" s="76">
        <v>2</v>
      </c>
      <c r="D510" s="87">
        <v>0</v>
      </c>
      <c r="E510" s="87">
        <v>1.301029995663981</v>
      </c>
      <c r="F510" s="76" t="s">
        <v>1471</v>
      </c>
      <c r="G510" s="76" t="b">
        <v>0</v>
      </c>
      <c r="H510" s="76" t="b">
        <v>0</v>
      </c>
      <c r="I510" s="76" t="b">
        <v>0</v>
      </c>
      <c r="J510" s="76" t="b">
        <v>0</v>
      </c>
      <c r="K510" s="76" t="b">
        <v>0</v>
      </c>
      <c r="L510" s="76" t="b">
        <v>0</v>
      </c>
    </row>
    <row r="511" spans="1:12" ht="15">
      <c r="A511" s="73" t="s">
        <v>359</v>
      </c>
      <c r="B511" s="76" t="s">
        <v>359</v>
      </c>
      <c r="C511" s="76">
        <v>12</v>
      </c>
      <c r="D511" s="87">
        <v>0</v>
      </c>
      <c r="E511" s="87">
        <v>0.5862657241447304</v>
      </c>
      <c r="F511" s="76" t="s">
        <v>1473</v>
      </c>
      <c r="G511" s="76" t="b">
        <v>0</v>
      </c>
      <c r="H511" s="76" t="b">
        <v>0</v>
      </c>
      <c r="I511" s="76" t="b">
        <v>0</v>
      </c>
      <c r="J511" s="76" t="b">
        <v>0</v>
      </c>
      <c r="K511" s="76" t="b">
        <v>0</v>
      </c>
      <c r="L511" s="76" t="b">
        <v>0</v>
      </c>
    </row>
    <row r="512" spans="1:12" ht="15">
      <c r="A512" s="73" t="s">
        <v>383</v>
      </c>
      <c r="B512" s="76" t="s">
        <v>364</v>
      </c>
      <c r="C512" s="76">
        <v>2</v>
      </c>
      <c r="D512" s="87">
        <v>0</v>
      </c>
      <c r="E512" s="87">
        <v>1.4313637641589874</v>
      </c>
      <c r="F512" s="76" t="s">
        <v>1473</v>
      </c>
      <c r="G512" s="76" t="b">
        <v>0</v>
      </c>
      <c r="H512" s="76" t="b">
        <v>0</v>
      </c>
      <c r="I512" s="76" t="b">
        <v>0</v>
      </c>
      <c r="J512" s="76" t="b">
        <v>0</v>
      </c>
      <c r="K512" s="76" t="b">
        <v>0</v>
      </c>
      <c r="L512" s="76" t="b">
        <v>0</v>
      </c>
    </row>
    <row r="513" spans="1:12" ht="15">
      <c r="A513" s="73" t="s">
        <v>364</v>
      </c>
      <c r="B513" s="76" t="s">
        <v>365</v>
      </c>
      <c r="C513" s="76">
        <v>2</v>
      </c>
      <c r="D513" s="87">
        <v>0</v>
      </c>
      <c r="E513" s="87">
        <v>1.4313637641589874</v>
      </c>
      <c r="F513" s="76" t="s">
        <v>1473</v>
      </c>
      <c r="G513" s="76" t="b">
        <v>0</v>
      </c>
      <c r="H513" s="76" t="b">
        <v>0</v>
      </c>
      <c r="I513" s="76" t="b">
        <v>0</v>
      </c>
      <c r="J513" s="76" t="b">
        <v>0</v>
      </c>
      <c r="K513" s="76" t="b">
        <v>0</v>
      </c>
      <c r="L513" s="76" t="b">
        <v>0</v>
      </c>
    </row>
    <row r="514" spans="1:12" ht="15">
      <c r="A514" s="73" t="s">
        <v>365</v>
      </c>
      <c r="B514" s="76" t="s">
        <v>366</v>
      </c>
      <c r="C514" s="76">
        <v>2</v>
      </c>
      <c r="D514" s="87">
        <v>0</v>
      </c>
      <c r="E514" s="87">
        <v>1.4313637641589874</v>
      </c>
      <c r="F514" s="76" t="s">
        <v>1473</v>
      </c>
      <c r="G514" s="76" t="b">
        <v>0</v>
      </c>
      <c r="H514" s="76" t="b">
        <v>0</v>
      </c>
      <c r="I514" s="76" t="b">
        <v>0</v>
      </c>
      <c r="J514" s="76" t="b">
        <v>0</v>
      </c>
      <c r="K514" s="76" t="b">
        <v>1</v>
      </c>
      <c r="L514" s="76" t="b">
        <v>0</v>
      </c>
    </row>
    <row r="515" spans="1:12" ht="15">
      <c r="A515" s="73" t="s">
        <v>366</v>
      </c>
      <c r="B515" s="76" t="s">
        <v>367</v>
      </c>
      <c r="C515" s="76">
        <v>2</v>
      </c>
      <c r="D515" s="87">
        <v>0</v>
      </c>
      <c r="E515" s="87">
        <v>1.4313637641589874</v>
      </c>
      <c r="F515" s="76" t="s">
        <v>1473</v>
      </c>
      <c r="G515" s="76" t="b">
        <v>0</v>
      </c>
      <c r="H515" s="76" t="b">
        <v>1</v>
      </c>
      <c r="I515" s="76" t="b">
        <v>0</v>
      </c>
      <c r="J515" s="76" t="b">
        <v>0</v>
      </c>
      <c r="K515" s="76" t="b">
        <v>0</v>
      </c>
      <c r="L515" s="76" t="b">
        <v>0</v>
      </c>
    </row>
    <row r="516" spans="1:12" ht="15">
      <c r="A516" s="73" t="s">
        <v>367</v>
      </c>
      <c r="B516" s="76" t="s">
        <v>368</v>
      </c>
      <c r="C516" s="76">
        <v>2</v>
      </c>
      <c r="D516" s="87">
        <v>0</v>
      </c>
      <c r="E516" s="87">
        <v>1.4313637641589874</v>
      </c>
      <c r="F516" s="76" t="s">
        <v>1473</v>
      </c>
      <c r="G516" s="76" t="b">
        <v>0</v>
      </c>
      <c r="H516" s="76" t="b">
        <v>0</v>
      </c>
      <c r="I516" s="76" t="b">
        <v>0</v>
      </c>
      <c r="J516" s="76" t="b">
        <v>0</v>
      </c>
      <c r="K516" s="76" t="b">
        <v>0</v>
      </c>
      <c r="L516" s="76" t="b">
        <v>0</v>
      </c>
    </row>
    <row r="517" spans="1:12" ht="15">
      <c r="A517" s="73" t="s">
        <v>368</v>
      </c>
      <c r="B517" s="76" t="s">
        <v>369</v>
      </c>
      <c r="C517" s="76">
        <v>2</v>
      </c>
      <c r="D517" s="87">
        <v>0</v>
      </c>
      <c r="E517" s="87">
        <v>1.4313637641589874</v>
      </c>
      <c r="F517" s="76" t="s">
        <v>1473</v>
      </c>
      <c r="G517" s="76" t="b">
        <v>0</v>
      </c>
      <c r="H517" s="76" t="b">
        <v>0</v>
      </c>
      <c r="I517" s="76" t="b">
        <v>0</v>
      </c>
      <c r="J517" s="76" t="b">
        <v>0</v>
      </c>
      <c r="K517" s="76" t="b">
        <v>0</v>
      </c>
      <c r="L517" s="76" t="b">
        <v>0</v>
      </c>
    </row>
    <row r="518" spans="1:12" ht="15">
      <c r="A518" s="73" t="s">
        <v>369</v>
      </c>
      <c r="B518" s="76" t="s">
        <v>370</v>
      </c>
      <c r="C518" s="76">
        <v>2</v>
      </c>
      <c r="D518" s="87">
        <v>0</v>
      </c>
      <c r="E518" s="87">
        <v>1.4313637641589874</v>
      </c>
      <c r="F518" s="76" t="s">
        <v>1473</v>
      </c>
      <c r="G518" s="76" t="b">
        <v>0</v>
      </c>
      <c r="H518" s="76" t="b">
        <v>0</v>
      </c>
      <c r="I518" s="76" t="b">
        <v>0</v>
      </c>
      <c r="J518" s="76" t="b">
        <v>0</v>
      </c>
      <c r="K518" s="76" t="b">
        <v>0</v>
      </c>
      <c r="L518" s="76" t="b">
        <v>0</v>
      </c>
    </row>
    <row r="519" spans="1:12" ht="15">
      <c r="A519" s="73" t="s">
        <v>370</v>
      </c>
      <c r="B519" s="76" t="s">
        <v>360</v>
      </c>
      <c r="C519" s="76">
        <v>2</v>
      </c>
      <c r="D519" s="87">
        <v>0</v>
      </c>
      <c r="E519" s="87">
        <v>1.4313637641589874</v>
      </c>
      <c r="F519" s="76" t="s">
        <v>1473</v>
      </c>
      <c r="G519" s="76" t="b">
        <v>0</v>
      </c>
      <c r="H519" s="76" t="b">
        <v>0</v>
      </c>
      <c r="I519" s="76" t="b">
        <v>0</v>
      </c>
      <c r="J519" s="76" t="b">
        <v>0</v>
      </c>
      <c r="K519" s="76" t="b">
        <v>0</v>
      </c>
      <c r="L519" s="76" t="b">
        <v>0</v>
      </c>
    </row>
    <row r="520" spans="1:12" ht="15">
      <c r="A520" s="73" t="s">
        <v>360</v>
      </c>
      <c r="B520" s="76" t="s">
        <v>371</v>
      </c>
      <c r="C520" s="76">
        <v>2</v>
      </c>
      <c r="D520" s="87">
        <v>0</v>
      </c>
      <c r="E520" s="87">
        <v>1.4313637641589874</v>
      </c>
      <c r="F520" s="76" t="s">
        <v>1473</v>
      </c>
      <c r="G520" s="76" t="b">
        <v>0</v>
      </c>
      <c r="H520" s="76" t="b">
        <v>0</v>
      </c>
      <c r="I520" s="76" t="b">
        <v>0</v>
      </c>
      <c r="J520" s="76" t="b">
        <v>0</v>
      </c>
      <c r="K520" s="76" t="b">
        <v>0</v>
      </c>
      <c r="L520" s="76" t="b">
        <v>0</v>
      </c>
    </row>
    <row r="521" spans="1:12" ht="15">
      <c r="A521" s="73" t="s">
        <v>371</v>
      </c>
      <c r="B521" s="76" t="s">
        <v>372</v>
      </c>
      <c r="C521" s="76">
        <v>2</v>
      </c>
      <c r="D521" s="87">
        <v>0</v>
      </c>
      <c r="E521" s="87">
        <v>1.4313637641589874</v>
      </c>
      <c r="F521" s="76" t="s">
        <v>1473</v>
      </c>
      <c r="G521" s="76" t="b">
        <v>0</v>
      </c>
      <c r="H521" s="76" t="b">
        <v>0</v>
      </c>
      <c r="I521" s="76" t="b">
        <v>0</v>
      </c>
      <c r="J521" s="76" t="b">
        <v>0</v>
      </c>
      <c r="K521" s="76" t="b">
        <v>0</v>
      </c>
      <c r="L521" s="76" t="b">
        <v>0</v>
      </c>
    </row>
    <row r="522" spans="1:12" ht="15">
      <c r="A522" s="73" t="s">
        <v>372</v>
      </c>
      <c r="B522" s="76" t="s">
        <v>361</v>
      </c>
      <c r="C522" s="76">
        <v>2</v>
      </c>
      <c r="D522" s="87">
        <v>0</v>
      </c>
      <c r="E522" s="87">
        <v>1.4313637641589874</v>
      </c>
      <c r="F522" s="76" t="s">
        <v>1473</v>
      </c>
      <c r="G522" s="76" t="b">
        <v>0</v>
      </c>
      <c r="H522" s="76" t="b">
        <v>0</v>
      </c>
      <c r="I522" s="76" t="b">
        <v>0</v>
      </c>
      <c r="J522" s="76" t="b">
        <v>0</v>
      </c>
      <c r="K522" s="76" t="b">
        <v>0</v>
      </c>
      <c r="L522" s="76" t="b">
        <v>0</v>
      </c>
    </row>
    <row r="523" spans="1:12" ht="15">
      <c r="A523" s="73" t="s">
        <v>361</v>
      </c>
      <c r="B523" s="76" t="s">
        <v>379</v>
      </c>
      <c r="C523" s="76">
        <v>2</v>
      </c>
      <c r="D523" s="87">
        <v>0</v>
      </c>
      <c r="E523" s="87">
        <v>1.4313637641589874</v>
      </c>
      <c r="F523" s="76" t="s">
        <v>1473</v>
      </c>
      <c r="G523" s="76" t="b">
        <v>0</v>
      </c>
      <c r="H523" s="76" t="b">
        <v>0</v>
      </c>
      <c r="I523" s="76" t="b">
        <v>0</v>
      </c>
      <c r="J523" s="76" t="b">
        <v>0</v>
      </c>
      <c r="K523" s="76" t="b">
        <v>0</v>
      </c>
      <c r="L523" s="76" t="b">
        <v>0</v>
      </c>
    </row>
    <row r="524" spans="1:12" ht="15">
      <c r="A524" s="73" t="s">
        <v>379</v>
      </c>
      <c r="B524" s="76" t="s">
        <v>362</v>
      </c>
      <c r="C524" s="76">
        <v>2</v>
      </c>
      <c r="D524" s="87">
        <v>0</v>
      </c>
      <c r="E524" s="87">
        <v>1.4313637641589874</v>
      </c>
      <c r="F524" s="76" t="s">
        <v>1473</v>
      </c>
      <c r="G524" s="76" t="b">
        <v>0</v>
      </c>
      <c r="H524" s="76" t="b">
        <v>0</v>
      </c>
      <c r="I524" s="76" t="b">
        <v>0</v>
      </c>
      <c r="J524" s="76" t="b">
        <v>0</v>
      </c>
      <c r="K524" s="76" t="b">
        <v>0</v>
      </c>
      <c r="L524" s="76" t="b">
        <v>0</v>
      </c>
    </row>
    <row r="525" spans="1:12" ht="15">
      <c r="A525" s="73" t="s">
        <v>362</v>
      </c>
      <c r="B525" s="76" t="s">
        <v>363</v>
      </c>
      <c r="C525" s="76">
        <v>2</v>
      </c>
      <c r="D525" s="87">
        <v>0</v>
      </c>
      <c r="E525" s="87">
        <v>1.4313637641589874</v>
      </c>
      <c r="F525" s="76" t="s">
        <v>1473</v>
      </c>
      <c r="G525" s="76" t="b">
        <v>0</v>
      </c>
      <c r="H525" s="76" t="b">
        <v>0</v>
      </c>
      <c r="I525" s="76" t="b">
        <v>0</v>
      </c>
      <c r="J525" s="76" t="b">
        <v>0</v>
      </c>
      <c r="K525" s="76" t="b">
        <v>0</v>
      </c>
      <c r="L525" s="76" t="b">
        <v>0</v>
      </c>
    </row>
    <row r="526" spans="1:12" ht="15">
      <c r="A526" s="73" t="s">
        <v>363</v>
      </c>
      <c r="B526" s="76" t="s">
        <v>373</v>
      </c>
      <c r="C526" s="76">
        <v>2</v>
      </c>
      <c r="D526" s="87">
        <v>0</v>
      </c>
      <c r="E526" s="87">
        <v>1.4313637641589874</v>
      </c>
      <c r="F526" s="76" t="s">
        <v>1473</v>
      </c>
      <c r="G526" s="76" t="b">
        <v>0</v>
      </c>
      <c r="H526" s="76" t="b">
        <v>0</v>
      </c>
      <c r="I526" s="76" t="b">
        <v>0</v>
      </c>
      <c r="J526" s="76" t="b">
        <v>0</v>
      </c>
      <c r="K526" s="76" t="b">
        <v>0</v>
      </c>
      <c r="L526" s="76" t="b">
        <v>0</v>
      </c>
    </row>
    <row r="527" spans="1:12" ht="15">
      <c r="A527" s="73" t="s">
        <v>373</v>
      </c>
      <c r="B527" s="76" t="s">
        <v>374</v>
      </c>
      <c r="C527" s="76">
        <v>2</v>
      </c>
      <c r="D527" s="87">
        <v>0</v>
      </c>
      <c r="E527" s="87">
        <v>1.4313637641589874</v>
      </c>
      <c r="F527" s="76" t="s">
        <v>1473</v>
      </c>
      <c r="G527" s="76" t="b">
        <v>0</v>
      </c>
      <c r="H527" s="76" t="b">
        <v>0</v>
      </c>
      <c r="I527" s="76" t="b">
        <v>0</v>
      </c>
      <c r="J527" s="76" t="b">
        <v>0</v>
      </c>
      <c r="K527" s="76" t="b">
        <v>0</v>
      </c>
      <c r="L527" s="76" t="b">
        <v>0</v>
      </c>
    </row>
    <row r="528" spans="1:12" ht="15">
      <c r="A528" s="73" t="s">
        <v>374</v>
      </c>
      <c r="B528" s="76" t="s">
        <v>375</v>
      </c>
      <c r="C528" s="76">
        <v>2</v>
      </c>
      <c r="D528" s="87">
        <v>0</v>
      </c>
      <c r="E528" s="87">
        <v>1.4313637641589874</v>
      </c>
      <c r="F528" s="76" t="s">
        <v>1473</v>
      </c>
      <c r="G528" s="76" t="b">
        <v>0</v>
      </c>
      <c r="H528" s="76" t="b">
        <v>0</v>
      </c>
      <c r="I528" s="76" t="b">
        <v>0</v>
      </c>
      <c r="J528" s="76" t="b">
        <v>0</v>
      </c>
      <c r="K528" s="76" t="b">
        <v>0</v>
      </c>
      <c r="L528" s="76" t="b">
        <v>0</v>
      </c>
    </row>
    <row r="529" spans="1:12" ht="15">
      <c r="A529" s="73" t="s">
        <v>375</v>
      </c>
      <c r="B529" s="76" t="s">
        <v>376</v>
      </c>
      <c r="C529" s="76">
        <v>2</v>
      </c>
      <c r="D529" s="87">
        <v>0</v>
      </c>
      <c r="E529" s="87">
        <v>1.4313637641589874</v>
      </c>
      <c r="F529" s="76" t="s">
        <v>1473</v>
      </c>
      <c r="G529" s="76" t="b">
        <v>0</v>
      </c>
      <c r="H529" s="76" t="b">
        <v>0</v>
      </c>
      <c r="I529" s="76" t="b">
        <v>0</v>
      </c>
      <c r="J529" s="76" t="b">
        <v>0</v>
      </c>
      <c r="K529" s="76" t="b">
        <v>0</v>
      </c>
      <c r="L529" s="76" t="b">
        <v>0</v>
      </c>
    </row>
    <row r="530" spans="1:12" ht="15">
      <c r="A530" s="73" t="s">
        <v>376</v>
      </c>
      <c r="B530" s="76" t="s">
        <v>377</v>
      </c>
      <c r="C530" s="76">
        <v>2</v>
      </c>
      <c r="D530" s="87">
        <v>0</v>
      </c>
      <c r="E530" s="87">
        <v>1.4313637641589874</v>
      </c>
      <c r="F530" s="76" t="s">
        <v>1473</v>
      </c>
      <c r="G530" s="76" t="b">
        <v>0</v>
      </c>
      <c r="H530" s="76" t="b">
        <v>0</v>
      </c>
      <c r="I530" s="76" t="b">
        <v>0</v>
      </c>
      <c r="J530" s="76" t="b">
        <v>0</v>
      </c>
      <c r="K530" s="76" t="b">
        <v>0</v>
      </c>
      <c r="L530" s="76" t="b">
        <v>0</v>
      </c>
    </row>
    <row r="531" spans="1:12" ht="15">
      <c r="A531" s="73" t="s">
        <v>377</v>
      </c>
      <c r="B531" s="76" t="s">
        <v>378</v>
      </c>
      <c r="C531" s="76">
        <v>2</v>
      </c>
      <c r="D531" s="87">
        <v>0</v>
      </c>
      <c r="E531" s="87">
        <v>1.4313637641589874</v>
      </c>
      <c r="F531" s="76" t="s">
        <v>1473</v>
      </c>
      <c r="G531" s="76" t="b">
        <v>0</v>
      </c>
      <c r="H531" s="76" t="b">
        <v>0</v>
      </c>
      <c r="I531" s="76" t="b">
        <v>0</v>
      </c>
      <c r="J531" s="76" t="b">
        <v>0</v>
      </c>
      <c r="K531" s="76" t="b">
        <v>0</v>
      </c>
      <c r="L531" s="76" t="b">
        <v>0</v>
      </c>
    </row>
    <row r="532" spans="1:12" ht="15">
      <c r="A532" s="73" t="s">
        <v>378</v>
      </c>
      <c r="B532" s="76" t="s">
        <v>359</v>
      </c>
      <c r="C532" s="76">
        <v>2</v>
      </c>
      <c r="D532" s="87">
        <v>0</v>
      </c>
      <c r="E532" s="87">
        <v>0.5862657241447304</v>
      </c>
      <c r="F532" s="76" t="s">
        <v>1473</v>
      </c>
      <c r="G532" s="76" t="b">
        <v>0</v>
      </c>
      <c r="H532" s="76" t="b">
        <v>0</v>
      </c>
      <c r="I532" s="76" t="b">
        <v>0</v>
      </c>
      <c r="J532" s="76" t="b">
        <v>0</v>
      </c>
      <c r="K532" s="76" t="b">
        <v>0</v>
      </c>
      <c r="L532" s="76" t="b">
        <v>0</v>
      </c>
    </row>
    <row r="533" spans="1:12" ht="15">
      <c r="A533" s="73" t="s">
        <v>720</v>
      </c>
      <c r="B533" s="76" t="s">
        <v>1649</v>
      </c>
      <c r="C533" s="76">
        <v>2</v>
      </c>
      <c r="D533" s="87">
        <v>0</v>
      </c>
      <c r="E533" s="87">
        <v>1.278753600952829</v>
      </c>
      <c r="F533" s="76" t="s">
        <v>1475</v>
      </c>
      <c r="G533" s="76" t="b">
        <v>0</v>
      </c>
      <c r="H533" s="76" t="b">
        <v>0</v>
      </c>
      <c r="I533" s="76" t="b">
        <v>0</v>
      </c>
      <c r="J533" s="76" t="b">
        <v>0</v>
      </c>
      <c r="K533" s="76" t="b">
        <v>0</v>
      </c>
      <c r="L533" s="76" t="b">
        <v>0</v>
      </c>
    </row>
    <row r="534" spans="1:12" ht="15">
      <c r="A534" s="73" t="s">
        <v>1649</v>
      </c>
      <c r="B534" s="76" t="s">
        <v>1650</v>
      </c>
      <c r="C534" s="76">
        <v>2</v>
      </c>
      <c r="D534" s="87">
        <v>0</v>
      </c>
      <c r="E534" s="87">
        <v>1.278753600952829</v>
      </c>
      <c r="F534" s="76" t="s">
        <v>1475</v>
      </c>
      <c r="G534" s="76" t="b">
        <v>0</v>
      </c>
      <c r="H534" s="76" t="b">
        <v>0</v>
      </c>
      <c r="I534" s="76" t="b">
        <v>0</v>
      </c>
      <c r="J534" s="76" t="b">
        <v>0</v>
      </c>
      <c r="K534" s="76" t="b">
        <v>0</v>
      </c>
      <c r="L534" s="76" t="b">
        <v>0</v>
      </c>
    </row>
    <row r="535" spans="1:12" ht="15">
      <c r="A535" s="73" t="s">
        <v>1650</v>
      </c>
      <c r="B535" s="76" t="s">
        <v>1492</v>
      </c>
      <c r="C535" s="76">
        <v>2</v>
      </c>
      <c r="D535" s="87">
        <v>0</v>
      </c>
      <c r="E535" s="87">
        <v>1.278753600952829</v>
      </c>
      <c r="F535" s="76" t="s">
        <v>1475</v>
      </c>
      <c r="G535" s="76" t="b">
        <v>0</v>
      </c>
      <c r="H535" s="76" t="b">
        <v>0</v>
      </c>
      <c r="I535" s="76" t="b">
        <v>0</v>
      </c>
      <c r="J535" s="76" t="b">
        <v>0</v>
      </c>
      <c r="K535" s="76" t="b">
        <v>0</v>
      </c>
      <c r="L535" s="76" t="b">
        <v>0</v>
      </c>
    </row>
    <row r="536" spans="1:12" ht="15">
      <c r="A536" s="73" t="s">
        <v>1492</v>
      </c>
      <c r="B536" s="76" t="s">
        <v>1651</v>
      </c>
      <c r="C536" s="76">
        <v>2</v>
      </c>
      <c r="D536" s="87">
        <v>0</v>
      </c>
      <c r="E536" s="87">
        <v>1.278753600952829</v>
      </c>
      <c r="F536" s="76" t="s">
        <v>1475</v>
      </c>
      <c r="G536" s="76" t="b">
        <v>0</v>
      </c>
      <c r="H536" s="76" t="b">
        <v>0</v>
      </c>
      <c r="I536" s="76" t="b">
        <v>0</v>
      </c>
      <c r="J536" s="76" t="b">
        <v>0</v>
      </c>
      <c r="K536" s="76" t="b">
        <v>0</v>
      </c>
      <c r="L536" s="76" t="b">
        <v>0</v>
      </c>
    </row>
    <row r="537" spans="1:12" ht="15">
      <c r="A537" s="73" t="s">
        <v>1651</v>
      </c>
      <c r="B537" s="76" t="s">
        <v>363</v>
      </c>
      <c r="C537" s="76">
        <v>2</v>
      </c>
      <c r="D537" s="87">
        <v>0</v>
      </c>
      <c r="E537" s="87">
        <v>1.278753600952829</v>
      </c>
      <c r="F537" s="76" t="s">
        <v>1475</v>
      </c>
      <c r="G537" s="76" t="b">
        <v>0</v>
      </c>
      <c r="H537" s="76" t="b">
        <v>0</v>
      </c>
      <c r="I537" s="76" t="b">
        <v>0</v>
      </c>
      <c r="J537" s="76" t="b">
        <v>0</v>
      </c>
      <c r="K537" s="76" t="b">
        <v>0</v>
      </c>
      <c r="L537" s="76" t="b">
        <v>0</v>
      </c>
    </row>
    <row r="538" spans="1:12" ht="15">
      <c r="A538" s="73" t="s">
        <v>363</v>
      </c>
      <c r="B538" s="76" t="s">
        <v>1652</v>
      </c>
      <c r="C538" s="76">
        <v>2</v>
      </c>
      <c r="D538" s="87">
        <v>0</v>
      </c>
      <c r="E538" s="87">
        <v>1.278753600952829</v>
      </c>
      <c r="F538" s="76" t="s">
        <v>1475</v>
      </c>
      <c r="G538" s="76" t="b">
        <v>0</v>
      </c>
      <c r="H538" s="76" t="b">
        <v>0</v>
      </c>
      <c r="I538" s="76" t="b">
        <v>0</v>
      </c>
      <c r="J538" s="76" t="b">
        <v>1</v>
      </c>
      <c r="K538" s="76" t="b">
        <v>0</v>
      </c>
      <c r="L538" s="76" t="b">
        <v>0</v>
      </c>
    </row>
    <row r="539" spans="1:12" ht="15">
      <c r="A539" s="73" t="s">
        <v>1652</v>
      </c>
      <c r="B539" s="76" t="s">
        <v>1621</v>
      </c>
      <c r="C539" s="76">
        <v>2</v>
      </c>
      <c r="D539" s="87">
        <v>0</v>
      </c>
      <c r="E539" s="87">
        <v>1.278753600952829</v>
      </c>
      <c r="F539" s="76" t="s">
        <v>1475</v>
      </c>
      <c r="G539" s="76" t="b">
        <v>1</v>
      </c>
      <c r="H539" s="76" t="b">
        <v>0</v>
      </c>
      <c r="I539" s="76" t="b">
        <v>0</v>
      </c>
      <c r="J539" s="76" t="b">
        <v>0</v>
      </c>
      <c r="K539" s="76" t="b">
        <v>0</v>
      </c>
      <c r="L539" s="76" t="b">
        <v>0</v>
      </c>
    </row>
    <row r="540" spans="1:12" ht="15">
      <c r="A540" s="73" t="s">
        <v>1621</v>
      </c>
      <c r="B540" s="76" t="s">
        <v>1653</v>
      </c>
      <c r="C540" s="76">
        <v>2</v>
      </c>
      <c r="D540" s="87">
        <v>0</v>
      </c>
      <c r="E540" s="87">
        <v>1.278753600952829</v>
      </c>
      <c r="F540" s="76" t="s">
        <v>1475</v>
      </c>
      <c r="G540" s="76" t="b">
        <v>0</v>
      </c>
      <c r="H540" s="76" t="b">
        <v>0</v>
      </c>
      <c r="I540" s="76" t="b">
        <v>0</v>
      </c>
      <c r="J540" s="76" t="b">
        <v>0</v>
      </c>
      <c r="K540" s="76" t="b">
        <v>0</v>
      </c>
      <c r="L540" s="76" t="b">
        <v>0</v>
      </c>
    </row>
    <row r="541" spans="1:12" ht="15">
      <c r="A541" s="73" t="s">
        <v>1653</v>
      </c>
      <c r="B541" s="76" t="s">
        <v>370</v>
      </c>
      <c r="C541" s="76">
        <v>2</v>
      </c>
      <c r="D541" s="87">
        <v>0</v>
      </c>
      <c r="E541" s="87">
        <v>1.278753600952829</v>
      </c>
      <c r="F541" s="76" t="s">
        <v>1475</v>
      </c>
      <c r="G541" s="76" t="b">
        <v>0</v>
      </c>
      <c r="H541" s="76" t="b">
        <v>0</v>
      </c>
      <c r="I541" s="76" t="b">
        <v>0</v>
      </c>
      <c r="J541" s="76" t="b">
        <v>0</v>
      </c>
      <c r="K541" s="76" t="b">
        <v>0</v>
      </c>
      <c r="L541" s="76" t="b">
        <v>0</v>
      </c>
    </row>
    <row r="542" spans="1:12" ht="15">
      <c r="A542" s="73" t="s">
        <v>370</v>
      </c>
      <c r="B542" s="76" t="s">
        <v>1654</v>
      </c>
      <c r="C542" s="76">
        <v>2</v>
      </c>
      <c r="D542" s="87">
        <v>0</v>
      </c>
      <c r="E542" s="87">
        <v>1.278753600952829</v>
      </c>
      <c r="F542" s="76" t="s">
        <v>1475</v>
      </c>
      <c r="G542" s="76" t="b">
        <v>0</v>
      </c>
      <c r="H542" s="76" t="b">
        <v>0</v>
      </c>
      <c r="I542" s="76" t="b">
        <v>0</v>
      </c>
      <c r="J542" s="76" t="b">
        <v>0</v>
      </c>
      <c r="K542" s="76" t="b">
        <v>0</v>
      </c>
      <c r="L542" s="76" t="b">
        <v>0</v>
      </c>
    </row>
    <row r="543" spans="1:12" ht="15">
      <c r="A543" s="73" t="s">
        <v>1654</v>
      </c>
      <c r="B543" s="76" t="s">
        <v>1655</v>
      </c>
      <c r="C543" s="76">
        <v>2</v>
      </c>
      <c r="D543" s="87">
        <v>0</v>
      </c>
      <c r="E543" s="87">
        <v>1.278753600952829</v>
      </c>
      <c r="F543" s="76" t="s">
        <v>1475</v>
      </c>
      <c r="G543" s="76" t="b">
        <v>0</v>
      </c>
      <c r="H543" s="76" t="b">
        <v>0</v>
      </c>
      <c r="I543" s="76" t="b">
        <v>0</v>
      </c>
      <c r="J543" s="76" t="b">
        <v>0</v>
      </c>
      <c r="K543" s="76" t="b">
        <v>0</v>
      </c>
      <c r="L543" s="76" t="b">
        <v>0</v>
      </c>
    </row>
    <row r="544" spans="1:12" ht="15">
      <c r="A544" s="73" t="s">
        <v>1655</v>
      </c>
      <c r="B544" s="76" t="s">
        <v>1656</v>
      </c>
      <c r="C544" s="76">
        <v>2</v>
      </c>
      <c r="D544" s="87">
        <v>0</v>
      </c>
      <c r="E544" s="87">
        <v>1.278753600952829</v>
      </c>
      <c r="F544" s="76" t="s">
        <v>1475</v>
      </c>
      <c r="G544" s="76" t="b">
        <v>0</v>
      </c>
      <c r="H544" s="76" t="b">
        <v>0</v>
      </c>
      <c r="I544" s="76" t="b">
        <v>0</v>
      </c>
      <c r="J544" s="76" t="b">
        <v>0</v>
      </c>
      <c r="K544" s="76" t="b">
        <v>0</v>
      </c>
      <c r="L544" s="76" t="b">
        <v>0</v>
      </c>
    </row>
    <row r="545" spans="1:12" ht="15">
      <c r="A545" s="73" t="s">
        <v>1656</v>
      </c>
      <c r="B545" s="76" t="s">
        <v>1657</v>
      </c>
      <c r="C545" s="76">
        <v>2</v>
      </c>
      <c r="D545" s="87">
        <v>0</v>
      </c>
      <c r="E545" s="87">
        <v>1.278753600952829</v>
      </c>
      <c r="F545" s="76" t="s">
        <v>1475</v>
      </c>
      <c r="G545" s="76" t="b">
        <v>0</v>
      </c>
      <c r="H545" s="76" t="b">
        <v>0</v>
      </c>
      <c r="I545" s="76" t="b">
        <v>0</v>
      </c>
      <c r="J545" s="76" t="b">
        <v>0</v>
      </c>
      <c r="K545" s="76" t="b">
        <v>0</v>
      </c>
      <c r="L545" s="76" t="b">
        <v>0</v>
      </c>
    </row>
    <row r="546" spans="1:12" ht="15">
      <c r="A546" s="73" t="s">
        <v>1657</v>
      </c>
      <c r="B546" s="76" t="s">
        <v>1590</v>
      </c>
      <c r="C546" s="76">
        <v>2</v>
      </c>
      <c r="D546" s="87">
        <v>0</v>
      </c>
      <c r="E546" s="87">
        <v>1.278753600952829</v>
      </c>
      <c r="F546" s="76" t="s">
        <v>1475</v>
      </c>
      <c r="G546" s="76" t="b">
        <v>0</v>
      </c>
      <c r="H546" s="76" t="b">
        <v>0</v>
      </c>
      <c r="I546" s="76" t="b">
        <v>0</v>
      </c>
      <c r="J546" s="76" t="b">
        <v>1</v>
      </c>
      <c r="K546" s="76" t="b">
        <v>0</v>
      </c>
      <c r="L546" s="76" t="b">
        <v>0</v>
      </c>
    </row>
    <row r="547" spans="1:12" ht="15">
      <c r="A547" s="73" t="s">
        <v>1590</v>
      </c>
      <c r="B547" s="76" t="s">
        <v>1658</v>
      </c>
      <c r="C547" s="76">
        <v>2</v>
      </c>
      <c r="D547" s="87">
        <v>0</v>
      </c>
      <c r="E547" s="87">
        <v>1.278753600952829</v>
      </c>
      <c r="F547" s="76" t="s">
        <v>1475</v>
      </c>
      <c r="G547" s="76" t="b">
        <v>1</v>
      </c>
      <c r="H547" s="76" t="b">
        <v>0</v>
      </c>
      <c r="I547" s="76" t="b">
        <v>0</v>
      </c>
      <c r="J547" s="76" t="b">
        <v>0</v>
      </c>
      <c r="K547" s="76" t="b">
        <v>0</v>
      </c>
      <c r="L547" s="76" t="b">
        <v>0</v>
      </c>
    </row>
    <row r="548" spans="1:12" ht="15">
      <c r="A548" s="73" t="s">
        <v>1658</v>
      </c>
      <c r="B548" s="76" t="s">
        <v>1659</v>
      </c>
      <c r="C548" s="76">
        <v>2</v>
      </c>
      <c r="D548" s="87">
        <v>0</v>
      </c>
      <c r="E548" s="87">
        <v>1.278753600952829</v>
      </c>
      <c r="F548" s="76" t="s">
        <v>1475</v>
      </c>
      <c r="G548" s="76" t="b">
        <v>0</v>
      </c>
      <c r="H548" s="76" t="b">
        <v>0</v>
      </c>
      <c r="I548" s="76" t="b">
        <v>0</v>
      </c>
      <c r="J548" s="76" t="b">
        <v>0</v>
      </c>
      <c r="K548" s="76" t="b">
        <v>0</v>
      </c>
      <c r="L548" s="76" t="b">
        <v>0</v>
      </c>
    </row>
    <row r="549" spans="1:12" ht="15">
      <c r="A549" s="73" t="s">
        <v>1659</v>
      </c>
      <c r="B549" s="76" t="s">
        <v>1660</v>
      </c>
      <c r="C549" s="76">
        <v>2</v>
      </c>
      <c r="D549" s="87">
        <v>0</v>
      </c>
      <c r="E549" s="87">
        <v>1.278753600952829</v>
      </c>
      <c r="F549" s="76" t="s">
        <v>1475</v>
      </c>
      <c r="G549" s="76" t="b">
        <v>0</v>
      </c>
      <c r="H549" s="76" t="b">
        <v>0</v>
      </c>
      <c r="I549" s="76" t="b">
        <v>0</v>
      </c>
      <c r="J549" s="76" t="b">
        <v>0</v>
      </c>
      <c r="K549" s="76" t="b">
        <v>0</v>
      </c>
      <c r="L549" s="76" t="b">
        <v>0</v>
      </c>
    </row>
    <row r="550" spans="1:12" ht="15">
      <c r="A550" s="73" t="s">
        <v>1660</v>
      </c>
      <c r="B550" s="76" t="s">
        <v>1661</v>
      </c>
      <c r="C550" s="76">
        <v>2</v>
      </c>
      <c r="D550" s="87">
        <v>0</v>
      </c>
      <c r="E550" s="87">
        <v>1.278753600952829</v>
      </c>
      <c r="F550" s="76" t="s">
        <v>1475</v>
      </c>
      <c r="G550" s="76" t="b">
        <v>0</v>
      </c>
      <c r="H550" s="76" t="b">
        <v>0</v>
      </c>
      <c r="I550" s="76" t="b">
        <v>0</v>
      </c>
      <c r="J550" s="76" t="b">
        <v>0</v>
      </c>
      <c r="K550" s="76" t="b">
        <v>0</v>
      </c>
      <c r="L550" s="76" t="b">
        <v>0</v>
      </c>
    </row>
    <row r="551" spans="1:12" ht="15">
      <c r="A551" s="73" t="s">
        <v>1661</v>
      </c>
      <c r="B551" s="76" t="s">
        <v>1662</v>
      </c>
      <c r="C551" s="76">
        <v>2</v>
      </c>
      <c r="D551" s="87">
        <v>0</v>
      </c>
      <c r="E551" s="87">
        <v>1.278753600952829</v>
      </c>
      <c r="F551" s="76" t="s">
        <v>1475</v>
      </c>
      <c r="G551" s="76" t="b">
        <v>0</v>
      </c>
      <c r="H551" s="76" t="b">
        <v>0</v>
      </c>
      <c r="I551" s="76" t="b">
        <v>0</v>
      </c>
      <c r="J551" s="76" t="b">
        <v>0</v>
      </c>
      <c r="K551" s="76" t="b">
        <v>0</v>
      </c>
      <c r="L551" s="76" t="b">
        <v>0</v>
      </c>
    </row>
    <row r="552" spans="1:12" ht="15">
      <c r="A552" s="73" t="s">
        <v>1600</v>
      </c>
      <c r="B552" s="76" t="s">
        <v>1601</v>
      </c>
      <c r="C552" s="76">
        <v>4</v>
      </c>
      <c r="D552" s="87">
        <v>0</v>
      </c>
      <c r="E552" s="87">
        <v>1.1139433523068367</v>
      </c>
      <c r="F552" s="76" t="s">
        <v>1481</v>
      </c>
      <c r="G552" s="76" t="b">
        <v>0</v>
      </c>
      <c r="H552" s="76" t="b">
        <v>0</v>
      </c>
      <c r="I552" s="76" t="b">
        <v>0</v>
      </c>
      <c r="J552" s="76" t="b">
        <v>0</v>
      </c>
      <c r="K552" s="76" t="b">
        <v>0</v>
      </c>
      <c r="L552" s="76" t="b">
        <v>0</v>
      </c>
    </row>
    <row r="553" spans="1:12" ht="15">
      <c r="A553" s="73" t="s">
        <v>1695</v>
      </c>
      <c r="B553" s="76" t="s">
        <v>1696</v>
      </c>
      <c r="C553" s="76">
        <v>2</v>
      </c>
      <c r="D553" s="87">
        <v>0</v>
      </c>
      <c r="E553" s="87">
        <v>1.414973347970818</v>
      </c>
      <c r="F553" s="76" t="s">
        <v>1481</v>
      </c>
      <c r="G553" s="76" t="b">
        <v>0</v>
      </c>
      <c r="H553" s="76" t="b">
        <v>0</v>
      </c>
      <c r="I553" s="76" t="b">
        <v>0</v>
      </c>
      <c r="J553" s="76" t="b">
        <v>0</v>
      </c>
      <c r="K553" s="76" t="b">
        <v>0</v>
      </c>
      <c r="L553" s="76" t="b">
        <v>0</v>
      </c>
    </row>
    <row r="554" spans="1:12" ht="15">
      <c r="A554" s="73" t="s">
        <v>1696</v>
      </c>
      <c r="B554" s="76" t="s">
        <v>1697</v>
      </c>
      <c r="C554" s="76">
        <v>2</v>
      </c>
      <c r="D554" s="87">
        <v>0</v>
      </c>
      <c r="E554" s="87">
        <v>1.414973347970818</v>
      </c>
      <c r="F554" s="76" t="s">
        <v>1481</v>
      </c>
      <c r="G554" s="76" t="b">
        <v>0</v>
      </c>
      <c r="H554" s="76" t="b">
        <v>0</v>
      </c>
      <c r="I554" s="76" t="b">
        <v>0</v>
      </c>
      <c r="J554" s="76" t="b">
        <v>0</v>
      </c>
      <c r="K554" s="76" t="b">
        <v>0</v>
      </c>
      <c r="L554" s="76" t="b">
        <v>0</v>
      </c>
    </row>
    <row r="555" spans="1:12" ht="15">
      <c r="A555" s="73" t="s">
        <v>1697</v>
      </c>
      <c r="B555" s="76" t="s">
        <v>1600</v>
      </c>
      <c r="C555" s="76">
        <v>2</v>
      </c>
      <c r="D555" s="87">
        <v>0</v>
      </c>
      <c r="E555" s="87">
        <v>1.1139433523068367</v>
      </c>
      <c r="F555" s="76" t="s">
        <v>1481</v>
      </c>
      <c r="G555" s="76" t="b">
        <v>0</v>
      </c>
      <c r="H555" s="76" t="b">
        <v>0</v>
      </c>
      <c r="I555" s="76" t="b">
        <v>0</v>
      </c>
      <c r="J555" s="76" t="b">
        <v>0</v>
      </c>
      <c r="K555" s="76" t="b">
        <v>0</v>
      </c>
      <c r="L555" s="76" t="b">
        <v>0</v>
      </c>
    </row>
    <row r="556" spans="1:12" ht="15">
      <c r="A556" s="73" t="s">
        <v>1601</v>
      </c>
      <c r="B556" s="76" t="s">
        <v>1511</v>
      </c>
      <c r="C556" s="76">
        <v>2</v>
      </c>
      <c r="D556" s="87">
        <v>0</v>
      </c>
      <c r="E556" s="87">
        <v>1.1139433523068367</v>
      </c>
      <c r="F556" s="76" t="s">
        <v>1481</v>
      </c>
      <c r="G556" s="76" t="b">
        <v>0</v>
      </c>
      <c r="H556" s="76" t="b">
        <v>0</v>
      </c>
      <c r="I556" s="76" t="b">
        <v>0</v>
      </c>
      <c r="J556" s="76" t="b">
        <v>0</v>
      </c>
      <c r="K556" s="76" t="b">
        <v>0</v>
      </c>
      <c r="L556" s="76" t="b">
        <v>0</v>
      </c>
    </row>
    <row r="557" spans="1:12" ht="15">
      <c r="A557" s="73" t="s">
        <v>1511</v>
      </c>
      <c r="B557" s="76" t="s">
        <v>1698</v>
      </c>
      <c r="C557" s="76">
        <v>2</v>
      </c>
      <c r="D557" s="87">
        <v>0</v>
      </c>
      <c r="E557" s="87">
        <v>1.414973347970818</v>
      </c>
      <c r="F557" s="76" t="s">
        <v>1481</v>
      </c>
      <c r="G557" s="76" t="b">
        <v>0</v>
      </c>
      <c r="H557" s="76" t="b">
        <v>0</v>
      </c>
      <c r="I557" s="76" t="b">
        <v>0</v>
      </c>
      <c r="J557" s="76" t="b">
        <v>1</v>
      </c>
      <c r="K557" s="76" t="b">
        <v>0</v>
      </c>
      <c r="L557" s="76" t="b">
        <v>0</v>
      </c>
    </row>
    <row r="558" spans="1:12" ht="15">
      <c r="A558" s="73" t="s">
        <v>1698</v>
      </c>
      <c r="B558" s="76" t="s">
        <v>363</v>
      </c>
      <c r="C558" s="76">
        <v>2</v>
      </c>
      <c r="D558" s="87">
        <v>0</v>
      </c>
      <c r="E558" s="87">
        <v>1.1139433523068367</v>
      </c>
      <c r="F558" s="76" t="s">
        <v>1481</v>
      </c>
      <c r="G558" s="76" t="b">
        <v>1</v>
      </c>
      <c r="H558" s="76" t="b">
        <v>0</v>
      </c>
      <c r="I558" s="76" t="b">
        <v>0</v>
      </c>
      <c r="J558" s="76" t="b">
        <v>0</v>
      </c>
      <c r="K558" s="76" t="b">
        <v>0</v>
      </c>
      <c r="L558" s="76" t="b">
        <v>0</v>
      </c>
    </row>
    <row r="559" spans="1:12" ht="15">
      <c r="A559" s="73" t="s">
        <v>363</v>
      </c>
      <c r="B559" s="76" t="s">
        <v>1699</v>
      </c>
      <c r="C559" s="76">
        <v>2</v>
      </c>
      <c r="D559" s="87">
        <v>0</v>
      </c>
      <c r="E559" s="87">
        <v>1.1139433523068367</v>
      </c>
      <c r="F559" s="76" t="s">
        <v>1481</v>
      </c>
      <c r="G559" s="76" t="b">
        <v>0</v>
      </c>
      <c r="H559" s="76" t="b">
        <v>0</v>
      </c>
      <c r="I559" s="76" t="b">
        <v>0</v>
      </c>
      <c r="J559" s="76" t="b">
        <v>0</v>
      </c>
      <c r="K559" s="76" t="b">
        <v>0</v>
      </c>
      <c r="L559" s="76" t="b">
        <v>0</v>
      </c>
    </row>
    <row r="560" spans="1:12" ht="15">
      <c r="A560" s="73" t="s">
        <v>1699</v>
      </c>
      <c r="B560" s="76" t="s">
        <v>1700</v>
      </c>
      <c r="C560" s="76">
        <v>2</v>
      </c>
      <c r="D560" s="87">
        <v>0</v>
      </c>
      <c r="E560" s="87">
        <v>1.414973347970818</v>
      </c>
      <c r="F560" s="76" t="s">
        <v>1481</v>
      </c>
      <c r="G560" s="76" t="b">
        <v>0</v>
      </c>
      <c r="H560" s="76" t="b">
        <v>0</v>
      </c>
      <c r="I560" s="76" t="b">
        <v>0</v>
      </c>
      <c r="J560" s="76" t="b">
        <v>0</v>
      </c>
      <c r="K560" s="76" t="b">
        <v>0</v>
      </c>
      <c r="L560" s="76" t="b">
        <v>0</v>
      </c>
    </row>
    <row r="561" spans="1:12" ht="15">
      <c r="A561" s="73" t="s">
        <v>1700</v>
      </c>
      <c r="B561" s="76" t="s">
        <v>1701</v>
      </c>
      <c r="C561" s="76">
        <v>2</v>
      </c>
      <c r="D561" s="87">
        <v>0</v>
      </c>
      <c r="E561" s="87">
        <v>1.414973347970818</v>
      </c>
      <c r="F561" s="76" t="s">
        <v>1481</v>
      </c>
      <c r="G561" s="76" t="b">
        <v>0</v>
      </c>
      <c r="H561" s="76" t="b">
        <v>0</v>
      </c>
      <c r="I561" s="76" t="b">
        <v>0</v>
      </c>
      <c r="J561" s="76" t="b">
        <v>0</v>
      </c>
      <c r="K561" s="76" t="b">
        <v>0</v>
      </c>
      <c r="L561" s="76" t="b">
        <v>0</v>
      </c>
    </row>
    <row r="562" spans="1:12" ht="15">
      <c r="A562" s="73" t="s">
        <v>1701</v>
      </c>
      <c r="B562" s="76" t="s">
        <v>1702</v>
      </c>
      <c r="C562" s="76">
        <v>2</v>
      </c>
      <c r="D562" s="87">
        <v>0</v>
      </c>
      <c r="E562" s="87">
        <v>1.414973347970818</v>
      </c>
      <c r="F562" s="76" t="s">
        <v>1481</v>
      </c>
      <c r="G562" s="76" t="b">
        <v>0</v>
      </c>
      <c r="H562" s="76" t="b">
        <v>0</v>
      </c>
      <c r="I562" s="76" t="b">
        <v>0</v>
      </c>
      <c r="J562" s="76" t="b">
        <v>0</v>
      </c>
      <c r="K562" s="76" t="b">
        <v>0</v>
      </c>
      <c r="L562" s="76" t="b">
        <v>0</v>
      </c>
    </row>
    <row r="563" spans="1:12" ht="15">
      <c r="A563" s="73" t="s">
        <v>1702</v>
      </c>
      <c r="B563" s="76" t="s">
        <v>363</v>
      </c>
      <c r="C563" s="76">
        <v>2</v>
      </c>
      <c r="D563" s="87">
        <v>0</v>
      </c>
      <c r="E563" s="87">
        <v>1.1139433523068367</v>
      </c>
      <c r="F563" s="76" t="s">
        <v>1481</v>
      </c>
      <c r="G563" s="76" t="b">
        <v>0</v>
      </c>
      <c r="H563" s="76" t="b">
        <v>0</v>
      </c>
      <c r="I563" s="76" t="b">
        <v>0</v>
      </c>
      <c r="J563" s="76" t="b">
        <v>0</v>
      </c>
      <c r="K563" s="76" t="b">
        <v>0</v>
      </c>
      <c r="L563" s="76" t="b">
        <v>0</v>
      </c>
    </row>
    <row r="564" spans="1:12" ht="15">
      <c r="A564" s="73" t="s">
        <v>363</v>
      </c>
      <c r="B564" s="76" t="s">
        <v>1703</v>
      </c>
      <c r="C564" s="76">
        <v>2</v>
      </c>
      <c r="D564" s="87">
        <v>0</v>
      </c>
      <c r="E564" s="87">
        <v>1.1139433523068367</v>
      </c>
      <c r="F564" s="76" t="s">
        <v>1481</v>
      </c>
      <c r="G564" s="76" t="b">
        <v>0</v>
      </c>
      <c r="H564" s="76" t="b">
        <v>0</v>
      </c>
      <c r="I564" s="76" t="b">
        <v>0</v>
      </c>
      <c r="J564" s="76" t="b">
        <v>0</v>
      </c>
      <c r="K564" s="76" t="b">
        <v>0</v>
      </c>
      <c r="L564" s="76" t="b">
        <v>0</v>
      </c>
    </row>
    <row r="565" spans="1:12" ht="15">
      <c r="A565" s="73" t="s">
        <v>1703</v>
      </c>
      <c r="B565" s="76" t="s">
        <v>1704</v>
      </c>
      <c r="C565" s="76">
        <v>2</v>
      </c>
      <c r="D565" s="87">
        <v>0</v>
      </c>
      <c r="E565" s="87">
        <v>1.414973347970818</v>
      </c>
      <c r="F565" s="76" t="s">
        <v>1481</v>
      </c>
      <c r="G565" s="76" t="b">
        <v>0</v>
      </c>
      <c r="H565" s="76" t="b">
        <v>0</v>
      </c>
      <c r="I565" s="76" t="b">
        <v>0</v>
      </c>
      <c r="J565" s="76" t="b">
        <v>1</v>
      </c>
      <c r="K565" s="76" t="b">
        <v>0</v>
      </c>
      <c r="L565" s="76" t="b">
        <v>0</v>
      </c>
    </row>
    <row r="566" spans="1:12" ht="15">
      <c r="A566" s="73" t="s">
        <v>1704</v>
      </c>
      <c r="B566" s="76" t="s">
        <v>1705</v>
      </c>
      <c r="C566" s="76">
        <v>2</v>
      </c>
      <c r="D566" s="87">
        <v>0</v>
      </c>
      <c r="E566" s="87">
        <v>1.414973347970818</v>
      </c>
      <c r="F566" s="76" t="s">
        <v>1481</v>
      </c>
      <c r="G566" s="76" t="b">
        <v>1</v>
      </c>
      <c r="H566" s="76" t="b">
        <v>0</v>
      </c>
      <c r="I566" s="76" t="b">
        <v>0</v>
      </c>
      <c r="J566" s="76" t="b">
        <v>0</v>
      </c>
      <c r="K566" s="76" t="b">
        <v>0</v>
      </c>
      <c r="L566" s="76" t="b">
        <v>0</v>
      </c>
    </row>
    <row r="567" spans="1:12" ht="15">
      <c r="A567" s="73" t="s">
        <v>1705</v>
      </c>
      <c r="B567" s="76" t="s">
        <v>1706</v>
      </c>
      <c r="C567" s="76">
        <v>2</v>
      </c>
      <c r="D567" s="87">
        <v>0</v>
      </c>
      <c r="E567" s="87">
        <v>1.414973347970818</v>
      </c>
      <c r="F567" s="76" t="s">
        <v>1481</v>
      </c>
      <c r="G567" s="76" t="b">
        <v>0</v>
      </c>
      <c r="H567" s="76" t="b">
        <v>0</v>
      </c>
      <c r="I567" s="76" t="b">
        <v>0</v>
      </c>
      <c r="J567" s="76" t="b">
        <v>0</v>
      </c>
      <c r="K567" s="76" t="b">
        <v>0</v>
      </c>
      <c r="L567" s="76" t="b">
        <v>0</v>
      </c>
    </row>
    <row r="568" spans="1:12" ht="15">
      <c r="A568" s="73" t="s">
        <v>1706</v>
      </c>
      <c r="B568" s="76" t="s">
        <v>1707</v>
      </c>
      <c r="C568" s="76">
        <v>2</v>
      </c>
      <c r="D568" s="87">
        <v>0</v>
      </c>
      <c r="E568" s="87">
        <v>1.414973347970818</v>
      </c>
      <c r="F568" s="76" t="s">
        <v>1481</v>
      </c>
      <c r="G568" s="76" t="b">
        <v>0</v>
      </c>
      <c r="H568" s="76" t="b">
        <v>0</v>
      </c>
      <c r="I568" s="76" t="b">
        <v>0</v>
      </c>
      <c r="J568" s="76" t="b">
        <v>0</v>
      </c>
      <c r="K568" s="76" t="b">
        <v>0</v>
      </c>
      <c r="L568" s="76" t="b">
        <v>0</v>
      </c>
    </row>
    <row r="569" spans="1:12" ht="15">
      <c r="A569" s="73" t="s">
        <v>1707</v>
      </c>
      <c r="B569" s="76" t="s">
        <v>1600</v>
      </c>
      <c r="C569" s="76">
        <v>2</v>
      </c>
      <c r="D569" s="87">
        <v>0</v>
      </c>
      <c r="E569" s="87">
        <v>1.1139433523068367</v>
      </c>
      <c r="F569" s="76" t="s">
        <v>1481</v>
      </c>
      <c r="G569" s="76" t="b">
        <v>0</v>
      </c>
      <c r="H569" s="76" t="b">
        <v>0</v>
      </c>
      <c r="I569" s="76" t="b">
        <v>0</v>
      </c>
      <c r="J569" s="76" t="b">
        <v>0</v>
      </c>
      <c r="K569" s="76" t="b">
        <v>0</v>
      </c>
      <c r="L569" s="76" t="b">
        <v>0</v>
      </c>
    </row>
    <row r="570" spans="1:12" ht="15">
      <c r="A570" s="73" t="s">
        <v>1601</v>
      </c>
      <c r="B570" s="76" t="s">
        <v>1598</v>
      </c>
      <c r="C570" s="76">
        <v>2</v>
      </c>
      <c r="D570" s="87">
        <v>0</v>
      </c>
      <c r="E570" s="87">
        <v>1.1139433523068367</v>
      </c>
      <c r="F570" s="76" t="s">
        <v>1481</v>
      </c>
      <c r="G570" s="76" t="b">
        <v>0</v>
      </c>
      <c r="H570" s="76" t="b">
        <v>0</v>
      </c>
      <c r="I570" s="76" t="b">
        <v>0</v>
      </c>
      <c r="J570" s="76" t="b">
        <v>0</v>
      </c>
      <c r="K570" s="76" t="b">
        <v>0</v>
      </c>
      <c r="L570" s="76" t="b">
        <v>0</v>
      </c>
    </row>
    <row r="571" spans="1:12" ht="15">
      <c r="A571" s="73" t="s">
        <v>1598</v>
      </c>
      <c r="B571" s="76" t="s">
        <v>1503</v>
      </c>
      <c r="C571" s="76">
        <v>2</v>
      </c>
      <c r="D571" s="87">
        <v>0</v>
      </c>
      <c r="E571" s="87">
        <v>1.414973347970818</v>
      </c>
      <c r="F571" s="76" t="s">
        <v>1481</v>
      </c>
      <c r="G571" s="76" t="b">
        <v>0</v>
      </c>
      <c r="H571" s="76" t="b">
        <v>0</v>
      </c>
      <c r="I571" s="76" t="b">
        <v>0</v>
      </c>
      <c r="J571" s="76" t="b">
        <v>0</v>
      </c>
      <c r="K571" s="76" t="b">
        <v>0</v>
      </c>
      <c r="L571" s="76" t="b">
        <v>0</v>
      </c>
    </row>
    <row r="572" spans="1:12" ht="15">
      <c r="A572" s="73" t="s">
        <v>1503</v>
      </c>
      <c r="B572" s="76" t="s">
        <v>360</v>
      </c>
      <c r="C572" s="76">
        <v>2</v>
      </c>
      <c r="D572" s="87">
        <v>0</v>
      </c>
      <c r="E572" s="87">
        <v>1.414973347970818</v>
      </c>
      <c r="F572" s="76" t="s">
        <v>1481</v>
      </c>
      <c r="G572" s="76" t="b">
        <v>0</v>
      </c>
      <c r="H572" s="76" t="b">
        <v>0</v>
      </c>
      <c r="I572" s="76" t="b">
        <v>0</v>
      </c>
      <c r="J572" s="76" t="b">
        <v>0</v>
      </c>
      <c r="K572" s="76" t="b">
        <v>0</v>
      </c>
      <c r="L572" s="76" t="b">
        <v>0</v>
      </c>
    </row>
    <row r="573" spans="1:12" ht="15">
      <c r="A573" s="73" t="s">
        <v>360</v>
      </c>
      <c r="B573" s="76" t="s">
        <v>362</v>
      </c>
      <c r="C573" s="76">
        <v>2</v>
      </c>
      <c r="D573" s="87">
        <v>0</v>
      </c>
      <c r="E573" s="87">
        <v>1.414973347970818</v>
      </c>
      <c r="F573" s="76" t="s">
        <v>1481</v>
      </c>
      <c r="G573" s="76" t="b">
        <v>0</v>
      </c>
      <c r="H573" s="76" t="b">
        <v>0</v>
      </c>
      <c r="I573" s="76" t="b">
        <v>0</v>
      </c>
      <c r="J573" s="76" t="b">
        <v>0</v>
      </c>
      <c r="K573" s="76" t="b">
        <v>0</v>
      </c>
      <c r="L573" s="76" t="b">
        <v>0</v>
      </c>
    </row>
    <row r="574" spans="1:12" ht="15">
      <c r="A574" s="73" t="s">
        <v>362</v>
      </c>
      <c r="B574" s="76" t="s">
        <v>1552</v>
      </c>
      <c r="C574" s="76">
        <v>2</v>
      </c>
      <c r="D574" s="87">
        <v>0</v>
      </c>
      <c r="E574" s="87">
        <v>1.414973347970818</v>
      </c>
      <c r="F574" s="76" t="s">
        <v>1481</v>
      </c>
      <c r="G574" s="76" t="b">
        <v>0</v>
      </c>
      <c r="H574" s="76" t="b">
        <v>0</v>
      </c>
      <c r="I574" s="76" t="b">
        <v>0</v>
      </c>
      <c r="J574" s="76" t="b">
        <v>0</v>
      </c>
      <c r="K574" s="76" t="b">
        <v>0</v>
      </c>
      <c r="L574" s="76" t="b">
        <v>0</v>
      </c>
    </row>
    <row r="575" spans="1:12" ht="15">
      <c r="A575" s="73" t="s">
        <v>1552</v>
      </c>
      <c r="B575" s="76" t="s">
        <v>1551</v>
      </c>
      <c r="C575" s="76">
        <v>2</v>
      </c>
      <c r="D575" s="87">
        <v>0</v>
      </c>
      <c r="E575" s="87">
        <v>1.414973347970818</v>
      </c>
      <c r="F575" s="76" t="s">
        <v>1481</v>
      </c>
      <c r="G575" s="76" t="b">
        <v>0</v>
      </c>
      <c r="H575" s="76" t="b">
        <v>0</v>
      </c>
      <c r="I575" s="76" t="b">
        <v>0</v>
      </c>
      <c r="J575" s="76" t="b">
        <v>0</v>
      </c>
      <c r="K575" s="76" t="b">
        <v>0</v>
      </c>
      <c r="L575" s="76" t="b">
        <v>0</v>
      </c>
    </row>
    <row r="576" spans="1:12" ht="15">
      <c r="A576" s="73" t="s">
        <v>1551</v>
      </c>
      <c r="B576" s="76" t="s">
        <v>1629</v>
      </c>
      <c r="C576" s="76">
        <v>2</v>
      </c>
      <c r="D576" s="87">
        <v>0</v>
      </c>
      <c r="E576" s="87">
        <v>1.414973347970818</v>
      </c>
      <c r="F576" s="76" t="s">
        <v>1481</v>
      </c>
      <c r="G576" s="76" t="b">
        <v>0</v>
      </c>
      <c r="H576" s="76" t="b">
        <v>0</v>
      </c>
      <c r="I576" s="76" t="b">
        <v>0</v>
      </c>
      <c r="J576" s="76" t="b">
        <v>0</v>
      </c>
      <c r="K576" s="76" t="b">
        <v>0</v>
      </c>
      <c r="L576"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2022-05-19T01:42:42Z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